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465" yWindow="-45" windowWidth="21555" windowHeight="15870" activeTab="6"/>
  </bookViews>
  <sheets>
    <sheet name="III" sheetId="1" r:id="rId1"/>
    <sheet name="IV" sheetId="2" r:id="rId2"/>
    <sheet name="VI" sheetId="4" r:id="rId3"/>
    <sheet name="VII" sheetId="3" r:id="rId4"/>
    <sheet name="VIII" sheetId="5" r:id="rId5"/>
    <sheet name="dbSheet" sheetId="7" state="veryHidden" r:id="rId6"/>
    <sheet name="IX" sheetId="6" r:id="rId7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8" i="1"/>
  <c r="M8"/>
  <c r="S16"/>
  <c r="R16"/>
  <c r="Q16"/>
  <c r="N16"/>
  <c r="M16"/>
  <c r="L16"/>
  <c r="S12"/>
  <c r="R12"/>
  <c r="Q12"/>
  <c r="N12"/>
  <c r="M12"/>
  <c r="L12"/>
  <c r="F18"/>
  <c r="R18"/>
  <c r="F17"/>
  <c r="S17"/>
  <c r="F15"/>
  <c r="S15"/>
  <c r="F14"/>
  <c r="R14"/>
  <c r="F13"/>
  <c r="S13"/>
  <c r="F11"/>
  <c r="S11"/>
  <c r="F10"/>
  <c r="R10"/>
  <c r="F9"/>
  <c r="S9"/>
  <c r="R8"/>
  <c r="F7"/>
  <c r="S7"/>
  <c r="F6"/>
  <c r="R6"/>
  <c r="F5"/>
  <c r="S5"/>
  <c r="K5"/>
  <c r="M5"/>
  <c r="P5"/>
  <c r="R5"/>
  <c r="L6"/>
  <c r="N6"/>
  <c r="Q6"/>
  <c r="S6"/>
  <c r="K7"/>
  <c r="M7"/>
  <c r="P7"/>
  <c r="R7"/>
  <c r="L8"/>
  <c r="N8"/>
  <c r="Q8"/>
  <c r="S8"/>
  <c r="K9"/>
  <c r="M9"/>
  <c r="P9"/>
  <c r="R9"/>
  <c r="M10"/>
  <c r="Q10"/>
  <c r="S10"/>
  <c r="L11"/>
  <c r="N11"/>
  <c r="R11"/>
  <c r="L13"/>
  <c r="N13"/>
  <c r="R13"/>
  <c r="L14"/>
  <c r="N14"/>
  <c r="Q14"/>
  <c r="S14"/>
  <c r="L15"/>
  <c r="N15"/>
  <c r="R15"/>
  <c r="L17"/>
  <c r="N17"/>
  <c r="R17"/>
  <c r="M18"/>
  <c r="Q18"/>
  <c r="S18"/>
  <c r="L5"/>
  <c r="N5"/>
  <c r="Q5"/>
  <c r="K6"/>
  <c r="M6"/>
  <c r="P6"/>
  <c r="L7"/>
  <c r="N7"/>
  <c r="Q7"/>
  <c r="K8"/>
  <c r="P8"/>
  <c r="L9"/>
  <c r="N9"/>
  <c r="Q9"/>
  <c r="L10"/>
  <c r="N10"/>
  <c r="M11"/>
  <c r="Q11"/>
  <c r="M13"/>
  <c r="Q13"/>
  <c r="K14"/>
  <c r="M14"/>
  <c r="P14"/>
  <c r="M15"/>
  <c r="Q15"/>
  <c r="M17"/>
  <c r="Q17"/>
  <c r="L18"/>
  <c r="N18"/>
  <c r="I52" i="2"/>
  <c r="N52"/>
  <c r="Q52"/>
  <c r="D52"/>
  <c r="I51"/>
  <c r="N51"/>
  <c r="Q51"/>
  <c r="D51"/>
  <c r="I50"/>
  <c r="N50"/>
  <c r="Q50"/>
  <c r="D50"/>
  <c r="I49"/>
  <c r="D49"/>
  <c r="I48"/>
  <c r="N48"/>
  <c r="Q48"/>
  <c r="Q63"/>
  <c r="D48"/>
  <c r="I47"/>
  <c r="N47"/>
  <c r="Q47"/>
  <c r="D47"/>
  <c r="I46"/>
  <c r="N46"/>
  <c r="Q46"/>
  <c r="D46"/>
  <c r="I45"/>
  <c r="N45"/>
  <c r="Q45"/>
  <c r="D45"/>
  <c r="I44"/>
  <c r="N44"/>
  <c r="Q44"/>
  <c r="Q62"/>
  <c r="D44"/>
  <c r="J43"/>
  <c r="I43"/>
  <c r="P43"/>
  <c r="S43"/>
  <c r="D43"/>
  <c r="J42"/>
  <c r="I42"/>
  <c r="O42"/>
  <c r="R42"/>
  <c r="P42"/>
  <c r="S42"/>
  <c r="D42"/>
  <c r="I41"/>
  <c r="N41"/>
  <c r="Q41"/>
  <c r="D41"/>
  <c r="I40"/>
  <c r="N40"/>
  <c r="Q40"/>
  <c r="D40"/>
  <c r="J39"/>
  <c r="I39"/>
  <c r="P39"/>
  <c r="S39"/>
  <c r="D39"/>
  <c r="J38"/>
  <c r="I38"/>
  <c r="O38"/>
  <c r="R38"/>
  <c r="P38"/>
  <c r="S38"/>
  <c r="D38"/>
  <c r="I37"/>
  <c r="N37"/>
  <c r="Q37"/>
  <c r="D37"/>
  <c r="I36"/>
  <c r="N36"/>
  <c r="Q36"/>
  <c r="D36"/>
  <c r="J35"/>
  <c r="I35"/>
  <c r="P35"/>
  <c r="S35"/>
  <c r="D35"/>
  <c r="J34"/>
  <c r="I34"/>
  <c r="O34"/>
  <c r="R34"/>
  <c r="P34"/>
  <c r="S34"/>
  <c r="D34"/>
  <c r="J33"/>
  <c r="I33"/>
  <c r="P33"/>
  <c r="S33"/>
  <c r="D33"/>
  <c r="I32"/>
  <c r="P32"/>
  <c r="S32"/>
  <c r="N32"/>
  <c r="Q32"/>
  <c r="O32"/>
  <c r="R32"/>
  <c r="D32"/>
  <c r="I31"/>
  <c r="P31"/>
  <c r="S31"/>
  <c r="N31"/>
  <c r="Q31"/>
  <c r="O31"/>
  <c r="R31"/>
  <c r="D31"/>
  <c r="I30"/>
  <c r="N30"/>
  <c r="Q30"/>
  <c r="P30"/>
  <c r="S30"/>
  <c r="D30"/>
  <c r="I29"/>
  <c r="N29"/>
  <c r="Q29"/>
  <c r="P29"/>
  <c r="S29"/>
  <c r="D29"/>
  <c r="I28"/>
  <c r="N28"/>
  <c r="Q28"/>
  <c r="P28"/>
  <c r="S28"/>
  <c r="D28"/>
  <c r="I27"/>
  <c r="N27"/>
  <c r="Q27"/>
  <c r="Q59"/>
  <c r="P27"/>
  <c r="S27"/>
  <c r="D27"/>
  <c r="I26"/>
  <c r="N26"/>
  <c r="Q26"/>
  <c r="P26"/>
  <c r="S26"/>
  <c r="D26"/>
  <c r="I25"/>
  <c r="N25"/>
  <c r="Q25"/>
  <c r="P25"/>
  <c r="S25"/>
  <c r="D25"/>
  <c r="I24"/>
  <c r="N24"/>
  <c r="Q24"/>
  <c r="P24"/>
  <c r="S24"/>
  <c r="D24"/>
  <c r="I23"/>
  <c r="N23"/>
  <c r="Q23"/>
  <c r="Q58"/>
  <c r="P23"/>
  <c r="S23"/>
  <c r="D23"/>
  <c r="I22"/>
  <c r="P22"/>
  <c r="S22"/>
  <c r="N22"/>
  <c r="Q22"/>
  <c r="O22"/>
  <c r="R22"/>
  <c r="D22"/>
  <c r="I21"/>
  <c r="P21"/>
  <c r="S21"/>
  <c r="N21"/>
  <c r="Q21"/>
  <c r="O21"/>
  <c r="R21"/>
  <c r="D21"/>
  <c r="I20"/>
  <c r="P20"/>
  <c r="S20"/>
  <c r="N20"/>
  <c r="Q20"/>
  <c r="O20"/>
  <c r="R20"/>
  <c r="D20"/>
  <c r="J19"/>
  <c r="I19"/>
  <c r="O19"/>
  <c r="R19"/>
  <c r="P19"/>
  <c r="S19"/>
  <c r="D19"/>
  <c r="J18"/>
  <c r="I18"/>
  <c r="P18"/>
  <c r="S18"/>
  <c r="D18"/>
  <c r="J17"/>
  <c r="I17"/>
  <c r="O17"/>
  <c r="R17"/>
  <c r="P17"/>
  <c r="S17"/>
  <c r="D17"/>
  <c r="I16"/>
  <c r="N16"/>
  <c r="Q16"/>
  <c r="D16"/>
  <c r="I15"/>
  <c r="N15"/>
  <c r="Q15"/>
  <c r="D15"/>
  <c r="J14"/>
  <c r="I14"/>
  <c r="P14"/>
  <c r="S14"/>
  <c r="D14"/>
  <c r="J13"/>
  <c r="I13"/>
  <c r="O13"/>
  <c r="R13"/>
  <c r="P13"/>
  <c r="S13"/>
  <c r="D13"/>
  <c r="I12"/>
  <c r="N12"/>
  <c r="Q12"/>
  <c r="D12"/>
  <c r="I11"/>
  <c r="N11"/>
  <c r="Q11"/>
  <c r="D11"/>
  <c r="I10"/>
  <c r="P10"/>
  <c r="S10"/>
  <c r="D10"/>
  <c r="I9"/>
  <c r="P9"/>
  <c r="S9"/>
  <c r="D9"/>
  <c r="J8"/>
  <c r="I8"/>
  <c r="P8"/>
  <c r="S8"/>
  <c r="D8"/>
  <c r="J7"/>
  <c r="I7"/>
  <c r="O7"/>
  <c r="R7"/>
  <c r="P7"/>
  <c r="S7"/>
  <c r="D7"/>
  <c r="I6"/>
  <c r="P6"/>
  <c r="S6"/>
  <c r="D6"/>
  <c r="I5"/>
  <c r="P5"/>
  <c r="S5"/>
  <c r="D5"/>
  <c r="Q71"/>
  <c r="Q70"/>
  <c r="S58"/>
  <c r="S59"/>
  <c r="O5"/>
  <c r="R5"/>
  <c r="O6"/>
  <c r="R6"/>
  <c r="N7"/>
  <c r="Q7"/>
  <c r="O8"/>
  <c r="R8"/>
  <c r="O9"/>
  <c r="R9"/>
  <c r="O10"/>
  <c r="R10"/>
  <c r="P11"/>
  <c r="S11"/>
  <c r="P12"/>
  <c r="S12"/>
  <c r="S56"/>
  <c r="N13"/>
  <c r="Q13"/>
  <c r="N14"/>
  <c r="Q14"/>
  <c r="Q56"/>
  <c r="O14"/>
  <c r="R14"/>
  <c r="P15"/>
  <c r="S15"/>
  <c r="P16"/>
  <c r="S16"/>
  <c r="S57"/>
  <c r="N17"/>
  <c r="Q17"/>
  <c r="N18"/>
  <c r="Q18"/>
  <c r="Q57"/>
  <c r="O18"/>
  <c r="R18"/>
  <c r="N19"/>
  <c r="Q19"/>
  <c r="O33"/>
  <c r="R33"/>
  <c r="N34"/>
  <c r="Q34"/>
  <c r="O35"/>
  <c r="R35"/>
  <c r="P36"/>
  <c r="S36"/>
  <c r="P37"/>
  <c r="S37"/>
  <c r="S60"/>
  <c r="N38"/>
  <c r="Q38"/>
  <c r="N39"/>
  <c r="Q39"/>
  <c r="Q60"/>
  <c r="O39"/>
  <c r="R39"/>
  <c r="P40"/>
  <c r="S40"/>
  <c r="P41"/>
  <c r="S41"/>
  <c r="S61"/>
  <c r="N42"/>
  <c r="Q42"/>
  <c r="N43"/>
  <c r="Q43"/>
  <c r="Q61"/>
  <c r="O43"/>
  <c r="R43"/>
  <c r="P44"/>
  <c r="S44"/>
  <c r="P45"/>
  <c r="S45"/>
  <c r="P46"/>
  <c r="S46"/>
  <c r="P47"/>
  <c r="S47"/>
  <c r="P48"/>
  <c r="S48"/>
  <c r="P50"/>
  <c r="S50"/>
  <c r="P51"/>
  <c r="S51"/>
  <c r="P52"/>
  <c r="S52"/>
  <c r="N5"/>
  <c r="Q5"/>
  <c r="N6"/>
  <c r="Q6"/>
  <c r="N8"/>
  <c r="Q8"/>
  <c r="N9"/>
  <c r="Q9"/>
  <c r="N10"/>
  <c r="Q10"/>
  <c r="N33"/>
  <c r="Q33"/>
  <c r="N35"/>
  <c r="Q35"/>
  <c r="Q69"/>
  <c r="Q68"/>
  <c r="Q66"/>
  <c r="Q65"/>
  <c r="S69"/>
  <c r="S68"/>
  <c r="S63"/>
  <c r="S62"/>
  <c r="S71"/>
  <c r="S65"/>
  <c r="S66"/>
  <c r="S70"/>
  <c r="H36" i="6"/>
  <c r="P36"/>
  <c r="H37"/>
  <c r="P37"/>
  <c r="H15"/>
  <c r="P15"/>
  <c r="H16"/>
  <c r="P16"/>
  <c r="H6"/>
  <c r="O6"/>
  <c r="Q6"/>
  <c r="H7"/>
  <c r="O7"/>
  <c r="Q7"/>
  <c r="H8"/>
  <c r="O8"/>
  <c r="Q8"/>
  <c r="H9"/>
  <c r="O9"/>
  <c r="Q9"/>
  <c r="H10"/>
  <c r="O10"/>
  <c r="Q10"/>
  <c r="H11"/>
  <c r="O11"/>
  <c r="Q11"/>
  <c r="H12"/>
  <c r="O12"/>
  <c r="Q12"/>
  <c r="H13"/>
  <c r="O13"/>
  <c r="Q13"/>
  <c r="H14"/>
  <c r="O14"/>
  <c r="Q14"/>
  <c r="O15"/>
  <c r="Q15"/>
  <c r="O16"/>
  <c r="Q16"/>
  <c r="H17"/>
  <c r="O17"/>
  <c r="Q17"/>
  <c r="H18"/>
  <c r="O18"/>
  <c r="Q18"/>
  <c r="H19"/>
  <c r="O19"/>
  <c r="Q19"/>
  <c r="H20"/>
  <c r="O20"/>
  <c r="Q20"/>
  <c r="H21"/>
  <c r="O21"/>
  <c r="Q21"/>
  <c r="H22"/>
  <c r="O22"/>
  <c r="Q22"/>
  <c r="H23"/>
  <c r="O23"/>
  <c r="Q23"/>
  <c r="H24"/>
  <c r="O24"/>
  <c r="Q24"/>
  <c r="O25"/>
  <c r="Q25"/>
  <c r="H26"/>
  <c r="O26"/>
  <c r="Q26"/>
  <c r="H27"/>
  <c r="O27"/>
  <c r="Q27"/>
  <c r="H28"/>
  <c r="O28"/>
  <c r="Q28"/>
  <c r="H29"/>
  <c r="O29"/>
  <c r="Q29"/>
  <c r="H30"/>
  <c r="O30"/>
  <c r="Q30"/>
  <c r="H31"/>
  <c r="O31"/>
  <c r="Q31"/>
  <c r="H32"/>
  <c r="O32"/>
  <c r="Q32"/>
  <c r="H33"/>
  <c r="O33"/>
  <c r="Q33"/>
  <c r="H34"/>
  <c r="O34"/>
  <c r="Q34"/>
  <c r="H35"/>
  <c r="O35"/>
  <c r="Q35"/>
  <c r="O36"/>
  <c r="Q36"/>
  <c r="O37"/>
  <c r="Q37"/>
  <c r="H38"/>
  <c r="O38"/>
  <c r="Q38"/>
  <c r="H39"/>
  <c r="O39"/>
  <c r="Q39"/>
  <c r="H40"/>
  <c r="O40"/>
  <c r="Q40"/>
  <c r="H41"/>
  <c r="O41"/>
  <c r="Q41"/>
  <c r="H42"/>
  <c r="O42"/>
  <c r="Q42"/>
  <c r="H43"/>
  <c r="O43"/>
  <c r="Q43"/>
  <c r="H44"/>
  <c r="O44"/>
  <c r="Q44"/>
  <c r="H45"/>
  <c r="O45"/>
  <c r="Q45"/>
  <c r="H46"/>
  <c r="O46"/>
  <c r="Q46"/>
  <c r="H47"/>
  <c r="O47"/>
  <c r="Q47"/>
  <c r="H48"/>
  <c r="O48"/>
  <c r="Q48"/>
  <c r="H49"/>
  <c r="O49"/>
  <c r="Q49"/>
  <c r="H5"/>
  <c r="Q5"/>
  <c r="O5"/>
  <c r="L5"/>
  <c r="N37"/>
  <c r="M37"/>
  <c r="L37"/>
  <c r="N36"/>
  <c r="M36"/>
  <c r="L36"/>
  <c r="N16"/>
  <c r="M16"/>
  <c r="L16"/>
  <c r="N15"/>
  <c r="M15"/>
  <c r="L15"/>
  <c r="N49"/>
  <c r="L49"/>
  <c r="N48"/>
  <c r="L48"/>
  <c r="N47"/>
  <c r="L47"/>
  <c r="N46"/>
  <c r="L46"/>
  <c r="N45"/>
  <c r="L45"/>
  <c r="N44"/>
  <c r="L44"/>
  <c r="N43"/>
  <c r="L43"/>
  <c r="N42"/>
  <c r="L42"/>
  <c r="N41"/>
  <c r="L41"/>
  <c r="N40"/>
  <c r="L40"/>
  <c r="N38"/>
  <c r="L38"/>
  <c r="N39"/>
  <c r="L39"/>
  <c r="N35"/>
  <c r="L35"/>
  <c r="N34"/>
  <c r="L34"/>
  <c r="N33"/>
  <c r="L33"/>
  <c r="N32"/>
  <c r="L32"/>
  <c r="N31"/>
  <c r="L31"/>
  <c r="N30"/>
  <c r="L30"/>
  <c r="N29"/>
  <c r="L29"/>
  <c r="N28"/>
  <c r="L28"/>
  <c r="N27"/>
  <c r="L27"/>
  <c r="N26"/>
  <c r="L26"/>
  <c r="N24"/>
  <c r="L24"/>
  <c r="N23"/>
  <c r="L23"/>
  <c r="N22"/>
  <c r="L22"/>
  <c r="N21"/>
  <c r="L21"/>
  <c r="N20"/>
  <c r="L20"/>
  <c r="N19"/>
  <c r="L19"/>
  <c r="N17"/>
  <c r="L17"/>
  <c r="N18"/>
  <c r="L18"/>
  <c r="N14"/>
  <c r="L14"/>
  <c r="N13"/>
  <c r="L13"/>
  <c r="N12"/>
  <c r="L12"/>
  <c r="N11"/>
  <c r="L11"/>
  <c r="N10"/>
  <c r="L10"/>
  <c r="N9"/>
  <c r="L9"/>
  <c r="N8"/>
  <c r="L8"/>
  <c r="N7"/>
  <c r="L7"/>
  <c r="N6"/>
  <c r="L6"/>
  <c r="N5"/>
  <c r="H5" i="4"/>
  <c r="K5"/>
  <c r="H48"/>
  <c r="K48"/>
  <c r="H49"/>
  <c r="K49"/>
  <c r="H50"/>
  <c r="K50"/>
  <c r="H51"/>
  <c r="K51"/>
  <c r="H52"/>
  <c r="K52"/>
  <c r="H53"/>
  <c r="K53"/>
  <c r="H54"/>
  <c r="K54"/>
  <c r="H55"/>
  <c r="K55"/>
  <c r="H56"/>
  <c r="H57"/>
  <c r="H58"/>
  <c r="H59"/>
  <c r="H24"/>
  <c r="K24"/>
  <c r="H25"/>
  <c r="K25"/>
  <c r="H26"/>
  <c r="K26"/>
  <c r="H27"/>
  <c r="K27"/>
  <c r="H28"/>
  <c r="K28"/>
  <c r="H29"/>
  <c r="K29"/>
  <c r="H30"/>
  <c r="K30"/>
  <c r="H31"/>
  <c r="K31"/>
  <c r="H32"/>
  <c r="K32"/>
  <c r="H33"/>
  <c r="K33"/>
  <c r="H34"/>
  <c r="K34"/>
  <c r="H35"/>
  <c r="K35"/>
  <c r="H36"/>
  <c r="L36"/>
  <c r="H37"/>
  <c r="K37"/>
  <c r="H38"/>
  <c r="K38"/>
  <c r="H39"/>
  <c r="K39"/>
  <c r="H40"/>
  <c r="K40"/>
  <c r="H41"/>
  <c r="K41"/>
  <c r="H42"/>
  <c r="K42"/>
  <c r="H43"/>
  <c r="K43"/>
  <c r="H44"/>
  <c r="H45"/>
  <c r="H46"/>
  <c r="H47"/>
  <c r="H6"/>
  <c r="K6"/>
  <c r="H7"/>
  <c r="K7"/>
  <c r="H8"/>
  <c r="K8"/>
  <c r="H9"/>
  <c r="K9"/>
  <c r="H10"/>
  <c r="K10"/>
  <c r="H11"/>
  <c r="K11"/>
  <c r="H12"/>
  <c r="K12"/>
  <c r="H13"/>
  <c r="K13"/>
  <c r="H14"/>
  <c r="K14"/>
  <c r="H15"/>
  <c r="K15"/>
  <c r="H16"/>
  <c r="K16"/>
  <c r="H17"/>
  <c r="K17"/>
  <c r="H18"/>
  <c r="K18"/>
  <c r="H19"/>
  <c r="K19"/>
  <c r="H20"/>
  <c r="K20"/>
  <c r="H21"/>
  <c r="K21"/>
  <c r="H22"/>
  <c r="K22"/>
  <c r="H23"/>
  <c r="K23"/>
  <c r="N5"/>
  <c r="L37"/>
  <c r="N22"/>
  <c r="N20"/>
  <c r="N18"/>
  <c r="N16"/>
  <c r="N14"/>
  <c r="N12"/>
  <c r="N10"/>
  <c r="N6"/>
  <c r="N34"/>
  <c r="N32"/>
  <c r="N30"/>
  <c r="N28"/>
  <c r="N26"/>
  <c r="N24"/>
  <c r="N54"/>
  <c r="N52"/>
  <c r="N50"/>
  <c r="N48"/>
  <c r="N42"/>
  <c r="N40"/>
  <c r="N38"/>
  <c r="M5"/>
  <c r="L22"/>
  <c r="L20"/>
  <c r="L18"/>
  <c r="L16"/>
  <c r="L14"/>
  <c r="L12"/>
  <c r="L10"/>
  <c r="L8"/>
  <c r="L6"/>
  <c r="L34"/>
  <c r="L32"/>
  <c r="L30"/>
  <c r="L28"/>
  <c r="L26"/>
  <c r="L24"/>
  <c r="L54"/>
  <c r="L52"/>
  <c r="L50"/>
  <c r="L48"/>
  <c r="L42"/>
  <c r="L40"/>
  <c r="L38"/>
  <c r="N8"/>
  <c r="N23"/>
  <c r="L23"/>
  <c r="N21"/>
  <c r="L21"/>
  <c r="N19"/>
  <c r="L19"/>
  <c r="N17"/>
  <c r="L17"/>
  <c r="N15"/>
  <c r="L15"/>
  <c r="N13"/>
  <c r="L13"/>
  <c r="N11"/>
  <c r="L11"/>
  <c r="N9"/>
  <c r="L9"/>
  <c r="N7"/>
  <c r="L7"/>
  <c r="N35"/>
  <c r="L35"/>
  <c r="N33"/>
  <c r="L33"/>
  <c r="N31"/>
  <c r="L31"/>
  <c r="N29"/>
  <c r="L29"/>
  <c r="N27"/>
  <c r="L27"/>
  <c r="N25"/>
  <c r="L25"/>
  <c r="N55"/>
  <c r="L55"/>
  <c r="N53"/>
  <c r="L53"/>
  <c r="N51"/>
  <c r="L51"/>
  <c r="N49"/>
  <c r="L49"/>
  <c r="N43"/>
  <c r="L43"/>
  <c r="N41"/>
  <c r="L41"/>
  <c r="N39"/>
  <c r="L39"/>
  <c r="N37"/>
  <c r="L5"/>
  <c r="M23"/>
  <c r="M22"/>
  <c r="M21"/>
  <c r="M20"/>
  <c r="M19"/>
  <c r="M18"/>
  <c r="M17"/>
  <c r="M16"/>
  <c r="M15"/>
  <c r="M14"/>
  <c r="M13"/>
  <c r="M12"/>
  <c r="M11"/>
  <c r="M10"/>
  <c r="M9"/>
  <c r="M8"/>
  <c r="M7"/>
  <c r="M6"/>
  <c r="M35"/>
  <c r="M34"/>
  <c r="M33"/>
  <c r="M32"/>
  <c r="M31"/>
  <c r="M30"/>
  <c r="M29"/>
  <c r="M28"/>
  <c r="M27"/>
  <c r="M26"/>
  <c r="M25"/>
  <c r="M24"/>
  <c r="M55"/>
  <c r="M54"/>
  <c r="M53"/>
  <c r="M52"/>
  <c r="M51"/>
  <c r="M50"/>
  <c r="M49"/>
  <c r="M48"/>
  <c r="M43"/>
  <c r="M42"/>
  <c r="M41"/>
  <c r="M40"/>
  <c r="M39"/>
  <c r="M38"/>
  <c r="M37"/>
  <c r="M36"/>
  <c r="K36"/>
  <c r="N36"/>
  <c r="K5" i="3"/>
  <c r="L5"/>
  <c r="M5"/>
  <c r="N5"/>
  <c r="H5"/>
  <c r="H53"/>
  <c r="M53"/>
  <c r="H52"/>
  <c r="N52"/>
  <c r="H51"/>
  <c r="M51"/>
  <c r="K51"/>
  <c r="N51"/>
  <c r="H50"/>
  <c r="N50"/>
  <c r="H49"/>
  <c r="M49"/>
  <c r="K49"/>
  <c r="N49"/>
  <c r="H48"/>
  <c r="N48"/>
  <c r="H47"/>
  <c r="M47"/>
  <c r="K47"/>
  <c r="N47"/>
  <c r="H46"/>
  <c r="N46"/>
  <c r="H45"/>
  <c r="M45"/>
  <c r="K45"/>
  <c r="N45"/>
  <c r="H44"/>
  <c r="N44"/>
  <c r="H43"/>
  <c r="M43"/>
  <c r="K43"/>
  <c r="N43"/>
  <c r="H42"/>
  <c r="N42"/>
  <c r="H41"/>
  <c r="M41"/>
  <c r="K41"/>
  <c r="N41"/>
  <c r="H40"/>
  <c r="N40"/>
  <c r="H39"/>
  <c r="M39"/>
  <c r="K39"/>
  <c r="N39"/>
  <c r="H38"/>
  <c r="N38"/>
  <c r="H37"/>
  <c r="M37"/>
  <c r="K37"/>
  <c r="N37"/>
  <c r="H36"/>
  <c r="N36"/>
  <c r="H35"/>
  <c r="H34"/>
  <c r="H33"/>
  <c r="H32"/>
  <c r="H31"/>
  <c r="M31"/>
  <c r="K31"/>
  <c r="N31"/>
  <c r="H30"/>
  <c r="N30"/>
  <c r="H29"/>
  <c r="M29"/>
  <c r="K29"/>
  <c r="N29"/>
  <c r="H28"/>
  <c r="N28"/>
  <c r="H27"/>
  <c r="M27"/>
  <c r="K27"/>
  <c r="N27"/>
  <c r="H26"/>
  <c r="N26"/>
  <c r="H25"/>
  <c r="M25"/>
  <c r="K25"/>
  <c r="N25"/>
  <c r="H24"/>
  <c r="N24"/>
  <c r="H23"/>
  <c r="M23"/>
  <c r="K23"/>
  <c r="N23"/>
  <c r="H22"/>
  <c r="N22"/>
  <c r="H21"/>
  <c r="M21"/>
  <c r="K21"/>
  <c r="N21"/>
  <c r="H20"/>
  <c r="N20"/>
  <c r="H19"/>
  <c r="M19"/>
  <c r="K19"/>
  <c r="N19"/>
  <c r="H18"/>
  <c r="N18"/>
  <c r="H17"/>
  <c r="M17"/>
  <c r="K17"/>
  <c r="N17"/>
  <c r="H16"/>
  <c r="N16"/>
  <c r="H15"/>
  <c r="M15"/>
  <c r="K15"/>
  <c r="N15"/>
  <c r="H14"/>
  <c r="N14"/>
  <c r="H13"/>
  <c r="M13"/>
  <c r="K13"/>
  <c r="N13"/>
  <c r="H12"/>
  <c r="N12"/>
  <c r="H11"/>
  <c r="M11"/>
  <c r="K11"/>
  <c r="N11"/>
  <c r="H10"/>
  <c r="N10"/>
  <c r="H9"/>
  <c r="M9"/>
  <c r="K9"/>
  <c r="N9"/>
  <c r="H8"/>
  <c r="N8"/>
  <c r="H7"/>
  <c r="M7"/>
  <c r="K7"/>
  <c r="N7"/>
  <c r="H6"/>
  <c r="N6"/>
  <c r="K6"/>
  <c r="M6"/>
  <c r="L7"/>
  <c r="K8"/>
  <c r="M8"/>
  <c r="L9"/>
  <c r="K10"/>
  <c r="M10"/>
  <c r="L11"/>
  <c r="K12"/>
  <c r="M12"/>
  <c r="L13"/>
  <c r="K14"/>
  <c r="M14"/>
  <c r="L15"/>
  <c r="K16"/>
  <c r="M16"/>
  <c r="L17"/>
  <c r="K18"/>
  <c r="M18"/>
  <c r="L19"/>
  <c r="K20"/>
  <c r="M20"/>
  <c r="L21"/>
  <c r="K22"/>
  <c r="M22"/>
  <c r="L23"/>
  <c r="K24"/>
  <c r="M24"/>
  <c r="L25"/>
  <c r="K26"/>
  <c r="M26"/>
  <c r="L27"/>
  <c r="K28"/>
  <c r="M28"/>
  <c r="L29"/>
  <c r="K30"/>
  <c r="M30"/>
  <c r="L31"/>
  <c r="K36"/>
  <c r="M36"/>
  <c r="L37"/>
  <c r="K38"/>
  <c r="M38"/>
  <c r="L39"/>
  <c r="K40"/>
  <c r="M40"/>
  <c r="L41"/>
  <c r="K42"/>
  <c r="M42"/>
  <c r="L43"/>
  <c r="K44"/>
  <c r="M44"/>
  <c r="L45"/>
  <c r="K46"/>
  <c r="M46"/>
  <c r="L47"/>
  <c r="K48"/>
  <c r="M48"/>
  <c r="L49"/>
  <c r="K50"/>
  <c r="M50"/>
  <c r="L51"/>
  <c r="K52"/>
  <c r="M52"/>
  <c r="L53"/>
  <c r="N53"/>
  <c r="L6"/>
  <c r="L8"/>
  <c r="L10"/>
  <c r="L12"/>
  <c r="L14"/>
  <c r="L16"/>
  <c r="L18"/>
  <c r="L20"/>
  <c r="L22"/>
  <c r="L24"/>
  <c r="L26"/>
  <c r="L28"/>
  <c r="L30"/>
  <c r="L36"/>
  <c r="L38"/>
  <c r="L40"/>
  <c r="L42"/>
  <c r="L44"/>
  <c r="L46"/>
  <c r="L48"/>
  <c r="L50"/>
  <c r="L52"/>
  <c r="K53"/>
  <c r="M5" i="5"/>
  <c r="H46"/>
  <c r="N46"/>
  <c r="H45"/>
  <c r="N45"/>
  <c r="H44"/>
  <c r="N44"/>
  <c r="H43"/>
  <c r="N43"/>
  <c r="H42"/>
  <c r="N42"/>
  <c r="H41"/>
  <c r="N41"/>
  <c r="H40"/>
  <c r="N40"/>
  <c r="H39"/>
  <c r="N39"/>
  <c r="H38"/>
  <c r="N38"/>
  <c r="H37"/>
  <c r="N37"/>
  <c r="H36"/>
  <c r="N36"/>
  <c r="H35"/>
  <c r="N35"/>
  <c r="H34"/>
  <c r="N34"/>
  <c r="H33"/>
  <c r="N33"/>
  <c r="H32"/>
  <c r="N32"/>
  <c r="H31"/>
  <c r="N31"/>
  <c r="H30"/>
  <c r="N30"/>
  <c r="H29"/>
  <c r="N29"/>
  <c r="H28"/>
  <c r="N28"/>
  <c r="H27"/>
  <c r="N27"/>
  <c r="H26"/>
  <c r="N26"/>
  <c r="H25"/>
  <c r="N25"/>
  <c r="H24"/>
  <c r="N24"/>
  <c r="H23"/>
  <c r="N23"/>
  <c r="H22"/>
  <c r="N22"/>
  <c r="H21"/>
  <c r="N21"/>
  <c r="H20"/>
  <c r="N20"/>
  <c r="H19"/>
  <c r="N19"/>
  <c r="H18"/>
  <c r="N18"/>
  <c r="H17"/>
  <c r="N17"/>
  <c r="H16"/>
  <c r="N16"/>
  <c r="H15"/>
  <c r="N15"/>
  <c r="H14"/>
  <c r="N14"/>
  <c r="H13"/>
  <c r="N13"/>
  <c r="H12"/>
  <c r="N12"/>
  <c r="H11"/>
  <c r="N11"/>
  <c r="H10"/>
  <c r="N10"/>
  <c r="H9"/>
  <c r="N9"/>
  <c r="H8"/>
  <c r="N8"/>
  <c r="H7"/>
  <c r="N7"/>
  <c r="H6"/>
  <c r="N6"/>
  <c r="H5"/>
  <c r="N5"/>
  <c r="K5"/>
  <c r="K6"/>
  <c r="M6"/>
  <c r="K7"/>
  <c r="M7"/>
  <c r="K8"/>
  <c r="M8"/>
  <c r="K9"/>
  <c r="M9"/>
  <c r="K10"/>
  <c r="M10"/>
  <c r="K11"/>
  <c r="M11"/>
  <c r="K12"/>
  <c r="M12"/>
  <c r="K13"/>
  <c r="M13"/>
  <c r="K14"/>
  <c r="M14"/>
  <c r="K15"/>
  <c r="M15"/>
  <c r="K16"/>
  <c r="M16"/>
  <c r="K17"/>
  <c r="M17"/>
  <c r="K18"/>
  <c r="M18"/>
  <c r="K19"/>
  <c r="M19"/>
  <c r="K20"/>
  <c r="M20"/>
  <c r="K21"/>
  <c r="M21"/>
  <c r="K22"/>
  <c r="M22"/>
  <c r="K23"/>
  <c r="M23"/>
  <c r="K24"/>
  <c r="M24"/>
  <c r="K25"/>
  <c r="M25"/>
  <c r="K26"/>
  <c r="M26"/>
  <c r="K27"/>
  <c r="M27"/>
  <c r="K28"/>
  <c r="M28"/>
  <c r="K29"/>
  <c r="M29"/>
  <c r="K30"/>
  <c r="M30"/>
  <c r="K31"/>
  <c r="M31"/>
  <c r="K32"/>
  <c r="M32"/>
  <c r="K33"/>
  <c r="M33"/>
  <c r="K34"/>
  <c r="M34"/>
  <c r="K35"/>
  <c r="M35"/>
  <c r="K36"/>
  <c r="M36"/>
  <c r="K37"/>
  <c r="M37"/>
  <c r="K38"/>
  <c r="M38"/>
  <c r="K39"/>
  <c r="M39"/>
  <c r="K40"/>
  <c r="M40"/>
  <c r="K41"/>
  <c r="M41"/>
  <c r="K42"/>
  <c r="M42"/>
  <c r="K43"/>
  <c r="M43"/>
  <c r="K44"/>
  <c r="M44"/>
  <c r="K45"/>
  <c r="M45"/>
  <c r="K46"/>
  <c r="M46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</calcChain>
</file>

<file path=xl/sharedStrings.xml><?xml version="1.0" encoding="utf-8"?>
<sst xmlns="http://schemas.openxmlformats.org/spreadsheetml/2006/main" count="366" uniqueCount="141">
  <si>
    <t>Calaus pacificus  Males</t>
  </si>
  <si>
    <t>Calaus pacificus  Females</t>
  </si>
  <si>
    <t>Metridia pacifica Females</t>
  </si>
  <si>
    <t>VH1 2</t>
  </si>
  <si>
    <t>VH1 3</t>
  </si>
  <si>
    <t>VH1 4</t>
  </si>
  <si>
    <t>VH2 1</t>
  </si>
  <si>
    <t>VH2 2</t>
  </si>
  <si>
    <t>VH2 3</t>
  </si>
  <si>
    <t>VH2 4</t>
  </si>
  <si>
    <t>VH1 1</t>
  </si>
  <si>
    <t>Calanus pacificus males</t>
    <phoneticPr fontId="6" type="noConversion"/>
  </si>
  <si>
    <t>per cubic meter</t>
    <phoneticPr fontId="6" type="noConversion"/>
  </si>
  <si>
    <t>Number per sample</t>
    <phoneticPr fontId="6" type="noConversion"/>
  </si>
  <si>
    <t>Number per cubic meter</t>
    <phoneticPr fontId="6" type="noConversion"/>
  </si>
  <si>
    <t>Number per square meter</t>
    <phoneticPr fontId="6" type="noConversion"/>
  </si>
  <si>
    <t>Calanus pacificus female</t>
    <phoneticPr fontId="6" type="noConversion"/>
  </si>
  <si>
    <t>Metridia pacifica females</t>
    <phoneticPr fontId="6" type="noConversion"/>
  </si>
  <si>
    <t>VH5</t>
    <phoneticPr fontId="6" type="noConversion"/>
  </si>
  <si>
    <t>HH1</t>
    <phoneticPr fontId="6" type="noConversion"/>
  </si>
  <si>
    <t>HH2</t>
    <phoneticPr fontId="6" type="noConversion"/>
  </si>
  <si>
    <t>HH3</t>
    <phoneticPr fontId="6" type="noConversion"/>
  </si>
  <si>
    <t>HH4</t>
    <phoneticPr fontId="6" type="noConversion"/>
  </si>
  <si>
    <t>HH5</t>
    <phoneticPr fontId="6" type="noConversion"/>
  </si>
  <si>
    <t>HH5</t>
    <phoneticPr fontId="6" type="noConversion"/>
  </si>
  <si>
    <t>VH1</t>
    <phoneticPr fontId="6" type="noConversion"/>
  </si>
  <si>
    <t>HH6</t>
    <phoneticPr fontId="6" type="noConversion"/>
  </si>
  <si>
    <t>HH7</t>
    <phoneticPr fontId="6" type="noConversion"/>
  </si>
  <si>
    <t>HH7</t>
    <phoneticPr fontId="6" type="noConversion"/>
  </si>
  <si>
    <t>HH8</t>
    <phoneticPr fontId="6" type="noConversion"/>
  </si>
  <si>
    <t>HH9</t>
    <phoneticPr fontId="6" type="noConversion"/>
  </si>
  <si>
    <t>HH10</t>
    <phoneticPr fontId="6" type="noConversion"/>
  </si>
  <si>
    <t>HH11</t>
    <phoneticPr fontId="6" type="noConversion"/>
  </si>
  <si>
    <t>HH12</t>
    <phoneticPr fontId="6" type="noConversion"/>
  </si>
  <si>
    <t>HH13</t>
    <phoneticPr fontId="6" type="noConversion"/>
  </si>
  <si>
    <t>HH14</t>
    <phoneticPr fontId="6" type="noConversion"/>
  </si>
  <si>
    <t>HH15</t>
    <phoneticPr fontId="6" type="noConversion"/>
  </si>
  <si>
    <t>HH16</t>
    <phoneticPr fontId="6" type="noConversion"/>
  </si>
  <si>
    <t>HH16</t>
    <phoneticPr fontId="6" type="noConversion"/>
  </si>
  <si>
    <t>VH6</t>
    <phoneticPr fontId="6" type="noConversion"/>
  </si>
  <si>
    <t>VH6</t>
    <phoneticPr fontId="6" type="noConversion"/>
  </si>
  <si>
    <t>VH7</t>
    <phoneticPr fontId="6" type="noConversion"/>
  </si>
  <si>
    <t>VH7</t>
    <phoneticPr fontId="6" type="noConversion"/>
  </si>
  <si>
    <t>VH5</t>
    <phoneticPr fontId="6" type="noConversion"/>
  </si>
  <si>
    <t>Surface Net Tows</t>
  </si>
  <si>
    <t>Raw Count Data</t>
  </si>
  <si>
    <t>Calanus pacificus</t>
  </si>
  <si>
    <t>Metridia pacifica</t>
  </si>
  <si>
    <t>Tow</t>
  </si>
  <si>
    <t>Time</t>
  </si>
  <si>
    <t>Upper Depth</t>
  </si>
  <si>
    <t>Lower Depth</t>
  </si>
  <si>
    <t>Diameter</t>
  </si>
  <si>
    <t>Aliquot</t>
  </si>
  <si>
    <t>C5</t>
  </si>
  <si>
    <t>Female</t>
  </si>
  <si>
    <t>Male</t>
  </si>
  <si>
    <t># ind m-2</t>
  </si>
  <si>
    <t># ind m-3</t>
  </si>
  <si>
    <t>DOY</t>
  </si>
  <si>
    <t xml:space="preserve">Vertical Nets </t>
  </si>
  <si>
    <t>24-27 Oct. 2006</t>
  </si>
  <si>
    <t>Ind/m3</t>
  </si>
  <si>
    <t>Ind/m2</t>
  </si>
  <si>
    <t>Haul Number</t>
  </si>
  <si>
    <t>Date</t>
  </si>
  <si>
    <t>Upper Depth (m)</t>
  </si>
  <si>
    <t>Lower Depth (m)</t>
  </si>
  <si>
    <t>Diameter (cm)</t>
  </si>
  <si>
    <t>Mesh (um)</t>
  </si>
  <si>
    <t>Volume Filtered (m3)</t>
  </si>
  <si>
    <t>VH1</t>
  </si>
  <si>
    <t>VH2</t>
  </si>
  <si>
    <t>VH3</t>
  </si>
  <si>
    <t>VH4</t>
  </si>
  <si>
    <t>VH5</t>
  </si>
  <si>
    <t>VH6</t>
  </si>
  <si>
    <t>VH7</t>
  </si>
  <si>
    <t>VH8</t>
  </si>
  <si>
    <t>VH9</t>
  </si>
  <si>
    <t>VH10</t>
  </si>
  <si>
    <t>VH11</t>
  </si>
  <si>
    <t>VH12</t>
  </si>
  <si>
    <t>VH13</t>
  </si>
  <si>
    <t>VH14</t>
  </si>
  <si>
    <t>* Hole in codend mesh</t>
  </si>
  <si>
    <t>* Retow of above (b/c hole in codend mesh)</t>
  </si>
  <si>
    <t>D/N</t>
  </si>
  <si>
    <t>Vert Series</t>
  </si>
  <si>
    <t>Cfem</t>
  </si>
  <si>
    <t>Mfem</t>
  </si>
  <si>
    <t>N</t>
  </si>
  <si>
    <t>D</t>
  </si>
  <si>
    <t>all</t>
  </si>
  <si>
    <t>avg</t>
  </si>
  <si>
    <t>stdev</t>
  </si>
  <si>
    <t xml:space="preserve">Night </t>
  </si>
  <si>
    <t>Day</t>
  </si>
  <si>
    <t>1-4 Aug 2007</t>
  </si>
  <si>
    <t>HH1</t>
  </si>
  <si>
    <t>HH2</t>
  </si>
  <si>
    <t>HH3</t>
  </si>
  <si>
    <t>HH4</t>
  </si>
  <si>
    <t>HH5</t>
  </si>
  <si>
    <t>HH6</t>
  </si>
  <si>
    <t>HH7</t>
  </si>
  <si>
    <t>HH8</t>
  </si>
  <si>
    <t>HH9</t>
  </si>
  <si>
    <t>HH10</t>
  </si>
  <si>
    <t>HH11</t>
  </si>
  <si>
    <t>HH12</t>
  </si>
  <si>
    <t>HH13</t>
  </si>
  <si>
    <t>HH14</t>
  </si>
  <si>
    <t>HH15</t>
  </si>
  <si>
    <t>HH 1</t>
  </si>
  <si>
    <t>HH 2</t>
  </si>
  <si>
    <t>HH 3</t>
  </si>
  <si>
    <t>HH 10</t>
  </si>
  <si>
    <t>HH 4</t>
  </si>
  <si>
    <t>HH 5</t>
  </si>
  <si>
    <t>HH 6</t>
  </si>
  <si>
    <t>HH 7</t>
  </si>
  <si>
    <t>HH 8</t>
  </si>
  <si>
    <t>HH 9</t>
  </si>
  <si>
    <t>HH 11</t>
  </si>
  <si>
    <t>HH 12</t>
  </si>
  <si>
    <t>HH 13</t>
  </si>
  <si>
    <t>HH 14</t>
  </si>
  <si>
    <t>HH 15</t>
  </si>
  <si>
    <t>HH 16</t>
  </si>
  <si>
    <t>22-26 Oct 2007</t>
  </si>
  <si>
    <t>H7</t>
  </si>
  <si>
    <t>H8</t>
  </si>
  <si>
    <t>H9</t>
  </si>
  <si>
    <t>H10</t>
  </si>
  <si>
    <t>H11</t>
  </si>
  <si>
    <t>H12</t>
  </si>
  <si>
    <t>30 April - 3 May 2007</t>
  </si>
  <si>
    <t>Forays IX hand vertical hauls 14-17 April 2008 60 cm net - Part I</t>
  </si>
  <si>
    <t>Corrected for removals</t>
  </si>
  <si>
    <t xml:space="preserve">     Number per sample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</si>
</sst>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"/>
    <numFmt numFmtId="167" formatCode="[$-409]d\-mmm\-yy;@"/>
  </numFmts>
  <fonts count="7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Verdana"/>
    </font>
    <font>
      <sz val="10"/>
      <name val="Arial"/>
    </font>
    <font>
      <sz val="8"/>
      <name val="Verdana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1" fontId="0" fillId="0" borderId="0" xfId="0" applyNumberFormat="1"/>
    <xf numFmtId="0" fontId="0" fillId="0" borderId="0" xfId="0" applyBorder="1"/>
    <xf numFmtId="1" fontId="0" fillId="0" borderId="0" xfId="0" applyNumberFormat="1" applyBorder="1"/>
    <xf numFmtId="1" fontId="2" fillId="0" borderId="1" xfId="0" applyNumberFormat="1" applyFont="1" applyBorder="1" applyAlignment="1">
      <alignment horizontal="left"/>
    </xf>
    <xf numFmtId="0" fontId="1" fillId="0" borderId="3" xfId="0" applyFont="1" applyBorder="1"/>
    <xf numFmtId="1" fontId="1" fillId="0" borderId="3" xfId="0" applyNumberFormat="1" applyFont="1" applyBorder="1"/>
    <xf numFmtId="1" fontId="1" fillId="0" borderId="4" xfId="0" applyNumberFormat="1" applyFont="1" applyBorder="1"/>
    <xf numFmtId="1" fontId="1" fillId="0" borderId="5" xfId="0" applyNumberFormat="1" applyFont="1" applyBorder="1"/>
    <xf numFmtId="20" fontId="0" fillId="0" borderId="0" xfId="0" applyNumberFormat="1"/>
    <xf numFmtId="0" fontId="0" fillId="0" borderId="3" xfId="0" applyBorder="1"/>
    <xf numFmtId="20" fontId="0" fillId="0" borderId="3" xfId="0" applyNumberFormat="1" applyBorder="1"/>
    <xf numFmtId="1" fontId="0" fillId="0" borderId="3" xfId="0" applyNumberFormat="1" applyBorder="1"/>
    <xf numFmtId="14" fontId="0" fillId="0" borderId="0" xfId="0" applyNumberFormat="1"/>
    <xf numFmtId="0" fontId="0" fillId="0" borderId="5" xfId="0" applyBorder="1"/>
    <xf numFmtId="2" fontId="0" fillId="0" borderId="0" xfId="0" applyNumberFormat="1"/>
    <xf numFmtId="20" fontId="0" fillId="0" borderId="0" xfId="0" applyNumberFormat="1" applyBorder="1"/>
    <xf numFmtId="2" fontId="0" fillId="0" borderId="0" xfId="0" applyNumberFormat="1" applyBorder="1"/>
    <xf numFmtId="2" fontId="0" fillId="0" borderId="3" xfId="0" applyNumberFormat="1" applyBorder="1"/>
    <xf numFmtId="0" fontId="1" fillId="0" borderId="0" xfId="0" applyFont="1"/>
    <xf numFmtId="165" fontId="0" fillId="0" borderId="0" xfId="0" applyNumberFormat="1"/>
    <xf numFmtId="0" fontId="1" fillId="0" borderId="3" xfId="0" applyFont="1" applyBorder="1" applyAlignment="1">
      <alignment horizontal="center" wrapText="1"/>
    </xf>
    <xf numFmtId="165" fontId="1" fillId="0" borderId="3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15" fontId="0" fillId="0" borderId="0" xfId="0" applyNumberFormat="1"/>
    <xf numFmtId="0" fontId="0" fillId="0" borderId="6" xfId="0" applyBorder="1"/>
    <xf numFmtId="15" fontId="0" fillId="0" borderId="6" xfId="0" applyNumberFormat="1" applyBorder="1"/>
    <xf numFmtId="20" fontId="0" fillId="0" borderId="6" xfId="0" applyNumberFormat="1" applyBorder="1"/>
    <xf numFmtId="165" fontId="0" fillId="0" borderId="6" xfId="0" applyNumberFormat="1" applyBorder="1"/>
    <xf numFmtId="1" fontId="0" fillId="0" borderId="6" xfId="0" applyNumberFormat="1" applyBorder="1"/>
    <xf numFmtId="2" fontId="0" fillId="0" borderId="6" xfId="0" applyNumberFormat="1" applyBorder="1"/>
    <xf numFmtId="15" fontId="0" fillId="0" borderId="0" xfId="0" applyNumberFormat="1" applyBorder="1"/>
    <xf numFmtId="165" fontId="0" fillId="0" borderId="0" xfId="0" applyNumberFormat="1" applyBorder="1"/>
    <xf numFmtId="0" fontId="0" fillId="0" borderId="0" xfId="0" applyFill="1" applyBorder="1"/>
    <xf numFmtId="1" fontId="0" fillId="0" borderId="0" xfId="0" quotePrefix="1" applyNumberFormat="1" applyBorder="1"/>
    <xf numFmtId="0" fontId="0" fillId="0" borderId="7" xfId="0" applyBorder="1"/>
    <xf numFmtId="15" fontId="0" fillId="0" borderId="7" xfId="0" applyNumberFormat="1" applyBorder="1"/>
    <xf numFmtId="20" fontId="0" fillId="0" borderId="7" xfId="0" applyNumberFormat="1" applyBorder="1"/>
    <xf numFmtId="165" fontId="0" fillId="0" borderId="7" xfId="0" applyNumberFormat="1" applyBorder="1"/>
    <xf numFmtId="1" fontId="0" fillId="0" borderId="7" xfId="0" applyNumberFormat="1" applyBorder="1"/>
    <xf numFmtId="1" fontId="0" fillId="0" borderId="7" xfId="0" quotePrefix="1" applyNumberFormat="1" applyBorder="1"/>
    <xf numFmtId="2" fontId="0" fillId="0" borderId="7" xfId="0" applyNumberFormat="1" applyBorder="1"/>
    <xf numFmtId="1" fontId="0" fillId="0" borderId="0" xfId="0" quotePrefix="1" applyNumberFormat="1"/>
    <xf numFmtId="0" fontId="3" fillId="0" borderId="0" xfId="0" applyFont="1"/>
    <xf numFmtId="166" fontId="0" fillId="0" borderId="0" xfId="0" applyNumberFormat="1"/>
    <xf numFmtId="0" fontId="3" fillId="0" borderId="3" xfId="0" applyFont="1" applyBorder="1" applyAlignment="1">
      <alignment horizontal="center" wrapText="1"/>
    </xf>
    <xf numFmtId="1" fontId="3" fillId="0" borderId="3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Border="1"/>
    <xf numFmtId="1" fontId="1" fillId="0" borderId="0" xfId="0" applyNumberFormat="1" applyFont="1" applyBorder="1"/>
    <xf numFmtId="164" fontId="0" fillId="0" borderId="0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7" fontId="4" fillId="0" borderId="0" xfId="0" applyNumberFormat="1" applyFont="1"/>
    <xf numFmtId="17" fontId="0" fillId="0" borderId="0" xfId="0" applyNumberFormat="1"/>
    <xf numFmtId="14" fontId="1" fillId="0" borderId="0" xfId="0" applyNumberFormat="1" applyFont="1" applyBorder="1"/>
    <xf numFmtId="0" fontId="5" fillId="0" borderId="0" xfId="0" applyFont="1"/>
    <xf numFmtId="14" fontId="5" fillId="0" borderId="0" xfId="0" applyNumberFormat="1" applyFont="1"/>
    <xf numFmtId="0" fontId="5" fillId="0" borderId="0" xfId="0" applyFont="1" applyAlignment="1">
      <alignment horizontal="center"/>
    </xf>
    <xf numFmtId="167" fontId="5" fillId="0" borderId="0" xfId="0" applyNumberFormat="1" applyFont="1" applyAlignment="1">
      <alignment horizontal="center"/>
    </xf>
    <xf numFmtId="2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164" fontId="5" fillId="0" borderId="0" xfId="0" applyNumberFormat="1" applyFont="1"/>
    <xf numFmtId="1" fontId="5" fillId="0" borderId="0" xfId="0" applyNumberFormat="1" applyFont="1" applyAlignment="1">
      <alignment horizontal="center"/>
    </xf>
    <xf numFmtId="1" fontId="1" fillId="0" borderId="3" xfId="0" applyNumberFormat="1" applyFont="1" applyBorder="1" applyAlignment="1">
      <alignment horizontal="center" wrapText="1"/>
    </xf>
    <xf numFmtId="1" fontId="5" fillId="0" borderId="0" xfId="0" applyNumberFormat="1" applyFont="1"/>
    <xf numFmtId="1" fontId="1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5" fillId="0" borderId="0" xfId="0" applyFont="1" applyAlignme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43"/>
  <sheetViews>
    <sheetView workbookViewId="0">
      <selection activeCell="A11" sqref="A11:A18"/>
    </sheetView>
  </sheetViews>
  <sheetFormatPr defaultColWidth="8.85546875" defaultRowHeight="12.75"/>
  <cols>
    <col min="1" max="1" width="15.7109375" bestFit="1" customWidth="1"/>
    <col min="2" max="2" width="5.42578125" bestFit="1" customWidth="1"/>
    <col min="3" max="3" width="12.28515625" style="1" bestFit="1" customWidth="1"/>
    <col min="4" max="4" width="12.42578125" style="1" bestFit="1" customWidth="1"/>
    <col min="5" max="5" width="12.42578125" bestFit="1" customWidth="1"/>
    <col min="6" max="6" width="12" bestFit="1" customWidth="1"/>
    <col min="7" max="7" width="7.85546875" bestFit="1" customWidth="1"/>
    <col min="8" max="8" width="16.42578125" bestFit="1" customWidth="1"/>
    <col min="9" max="9" width="7.85546875" bestFit="1" customWidth="1"/>
    <col min="10" max="10" width="16.42578125" bestFit="1" customWidth="1"/>
    <col min="11" max="11" width="5.42578125" bestFit="1" customWidth="1"/>
    <col min="12" max="12" width="7.85546875" bestFit="1" customWidth="1"/>
    <col min="13" max="13" width="16.42578125" bestFit="1" customWidth="1"/>
    <col min="14" max="14" width="7.85546875" bestFit="1" customWidth="1"/>
  </cols>
  <sheetData>
    <row r="1" spans="1:19">
      <c r="A1" s="19" t="s">
        <v>44</v>
      </c>
    </row>
    <row r="2" spans="1:19">
      <c r="A2" s="58">
        <v>39002</v>
      </c>
      <c r="B2" s="2"/>
      <c r="C2" s="3"/>
      <c r="D2" s="3"/>
      <c r="E2" s="2"/>
      <c r="F2" s="2"/>
      <c r="G2" s="69" t="s">
        <v>45</v>
      </c>
      <c r="H2" s="69"/>
      <c r="I2" s="69"/>
      <c r="J2" s="69"/>
      <c r="K2" s="73" t="s">
        <v>57</v>
      </c>
      <c r="L2" s="74"/>
      <c r="M2" s="74"/>
      <c r="N2" s="74"/>
      <c r="P2" s="73" t="s">
        <v>58</v>
      </c>
      <c r="Q2" s="74"/>
      <c r="R2" s="74"/>
      <c r="S2" s="74"/>
    </row>
    <row r="3" spans="1:19">
      <c r="A3" s="2"/>
      <c r="B3" s="2"/>
      <c r="C3" s="3"/>
      <c r="D3" s="3"/>
      <c r="E3" s="2"/>
      <c r="F3" s="2"/>
      <c r="G3" s="70" t="s">
        <v>46</v>
      </c>
      <c r="H3" s="71"/>
      <c r="I3" s="72"/>
      <c r="J3" s="4" t="s">
        <v>47</v>
      </c>
      <c r="K3" s="70" t="s">
        <v>46</v>
      </c>
      <c r="L3" s="71"/>
      <c r="M3" s="72"/>
      <c r="N3" s="4" t="s">
        <v>47</v>
      </c>
      <c r="P3" s="70" t="s">
        <v>46</v>
      </c>
      <c r="Q3" s="71"/>
      <c r="R3" s="72"/>
      <c r="S3" s="4" t="s">
        <v>47</v>
      </c>
    </row>
    <row r="4" spans="1:19" ht="13.5" thickBot="1">
      <c r="A4" s="5" t="s">
        <v>48</v>
      </c>
      <c r="B4" s="5" t="s">
        <v>49</v>
      </c>
      <c r="C4" s="6" t="s">
        <v>50</v>
      </c>
      <c r="D4" s="6" t="s">
        <v>51</v>
      </c>
      <c r="E4" s="5" t="s">
        <v>52</v>
      </c>
      <c r="F4" s="5" t="s">
        <v>53</v>
      </c>
      <c r="G4" s="7" t="s">
        <v>54</v>
      </c>
      <c r="H4" s="6" t="s">
        <v>55</v>
      </c>
      <c r="I4" s="8" t="s">
        <v>56</v>
      </c>
      <c r="J4" s="7" t="s">
        <v>55</v>
      </c>
      <c r="K4" s="7" t="s">
        <v>54</v>
      </c>
      <c r="L4" s="6" t="s">
        <v>55</v>
      </c>
      <c r="M4" s="8" t="s">
        <v>56</v>
      </c>
      <c r="N4" s="7" t="s">
        <v>55</v>
      </c>
      <c r="O4" s="14"/>
      <c r="P4" s="7" t="s">
        <v>54</v>
      </c>
      <c r="Q4" s="6" t="s">
        <v>55</v>
      </c>
      <c r="R4" s="8" t="s">
        <v>56</v>
      </c>
      <c r="S4" s="7" t="s">
        <v>55</v>
      </c>
    </row>
    <row r="5" spans="1:19">
      <c r="A5">
        <v>1</v>
      </c>
      <c r="B5" s="9">
        <v>0.71527777777777779</v>
      </c>
      <c r="C5" s="1">
        <v>0</v>
      </c>
      <c r="D5" s="1">
        <v>15</v>
      </c>
      <c r="E5">
        <v>0.75</v>
      </c>
      <c r="F5">
        <f>354/900</f>
        <v>0.39333333333333331</v>
      </c>
      <c r="G5">
        <v>7</v>
      </c>
      <c r="H5">
        <v>3</v>
      </c>
      <c r="I5">
        <v>0</v>
      </c>
      <c r="J5">
        <v>0</v>
      </c>
      <c r="K5" s="15">
        <f t="shared" ref="K5:N9" si="0">G5/$F5/(PI()*($E5^2))</f>
        <v>10.070821257792248</v>
      </c>
      <c r="L5" s="15">
        <f t="shared" si="0"/>
        <v>4.3160662533395344</v>
      </c>
      <c r="M5" s="15">
        <f t="shared" si="0"/>
        <v>0</v>
      </c>
      <c r="N5" s="15">
        <f t="shared" si="0"/>
        <v>0</v>
      </c>
      <c r="O5" s="15"/>
      <c r="P5" s="15">
        <f t="shared" ref="P5:S9" si="1">G5/$F5/(PI()*($E5^2))/($D5-$C5)</f>
        <v>0.67138808385281656</v>
      </c>
      <c r="Q5" s="15">
        <f t="shared" si="1"/>
        <v>0.28773775022263565</v>
      </c>
      <c r="R5" s="15">
        <f t="shared" si="1"/>
        <v>0</v>
      </c>
      <c r="S5" s="15">
        <f t="shared" si="1"/>
        <v>0</v>
      </c>
    </row>
    <row r="6" spans="1:19">
      <c r="A6">
        <v>2</v>
      </c>
      <c r="B6" s="9">
        <v>0.75</v>
      </c>
      <c r="C6" s="1">
        <v>0</v>
      </c>
      <c r="D6" s="1">
        <v>15</v>
      </c>
      <c r="E6">
        <v>0.75</v>
      </c>
      <c r="F6">
        <f>368/900</f>
        <v>0.40888888888888891</v>
      </c>
      <c r="G6">
        <v>5</v>
      </c>
      <c r="H6">
        <v>0</v>
      </c>
      <c r="I6">
        <v>0</v>
      </c>
      <c r="J6">
        <v>0</v>
      </c>
      <c r="K6" s="15">
        <f t="shared" si="0"/>
        <v>6.9197801344302317</v>
      </c>
      <c r="L6" s="15">
        <f t="shared" si="0"/>
        <v>0</v>
      </c>
      <c r="M6" s="15">
        <f t="shared" si="0"/>
        <v>0</v>
      </c>
      <c r="N6" s="15">
        <f t="shared" si="0"/>
        <v>0</v>
      </c>
      <c r="O6" s="15"/>
      <c r="P6" s="15">
        <f t="shared" si="1"/>
        <v>0.46131867562868212</v>
      </c>
      <c r="Q6" s="15">
        <f t="shared" si="1"/>
        <v>0</v>
      </c>
      <c r="R6" s="15">
        <f t="shared" si="1"/>
        <v>0</v>
      </c>
      <c r="S6" s="15">
        <f t="shared" si="1"/>
        <v>0</v>
      </c>
    </row>
    <row r="7" spans="1:19">
      <c r="A7">
        <v>3</v>
      </c>
      <c r="B7" s="9">
        <v>0.77777777777777779</v>
      </c>
      <c r="C7" s="1">
        <v>0</v>
      </c>
      <c r="D7" s="1">
        <v>15</v>
      </c>
      <c r="E7">
        <v>0.75</v>
      </c>
      <c r="F7">
        <f>370/900</f>
        <v>0.41111111111111109</v>
      </c>
      <c r="G7">
        <v>16</v>
      </c>
      <c r="H7">
        <v>0</v>
      </c>
      <c r="I7">
        <v>0</v>
      </c>
      <c r="J7">
        <v>0</v>
      </c>
      <c r="K7" s="17">
        <f t="shared" si="0"/>
        <v>22.023602935959573</v>
      </c>
      <c r="L7" s="17">
        <f t="shared" si="0"/>
        <v>0</v>
      </c>
      <c r="M7" s="17">
        <f t="shared" si="0"/>
        <v>0</v>
      </c>
      <c r="N7" s="17">
        <f t="shared" si="0"/>
        <v>0</v>
      </c>
      <c r="O7" s="17"/>
      <c r="P7" s="17">
        <f t="shared" si="1"/>
        <v>1.4682401957306381</v>
      </c>
      <c r="Q7" s="17">
        <f t="shared" si="1"/>
        <v>0</v>
      </c>
      <c r="R7" s="17">
        <f t="shared" si="1"/>
        <v>0</v>
      </c>
      <c r="S7" s="17">
        <f t="shared" si="1"/>
        <v>0</v>
      </c>
    </row>
    <row r="8" spans="1:19">
      <c r="A8">
        <v>4</v>
      </c>
      <c r="B8" s="9">
        <v>0.80208333333333337</v>
      </c>
      <c r="C8" s="1">
        <v>0</v>
      </c>
      <c r="D8" s="1">
        <v>15</v>
      </c>
      <c r="E8">
        <v>0.75</v>
      </c>
      <c r="F8">
        <f>149/900</f>
        <v>0.16555555555555557</v>
      </c>
      <c r="G8">
        <v>38</v>
      </c>
      <c r="H8">
        <v>70</v>
      </c>
      <c r="I8">
        <v>8</v>
      </c>
      <c r="J8">
        <v>478</v>
      </c>
      <c r="K8" s="17">
        <f t="shared" si="0"/>
        <v>129.8875240266743</v>
      </c>
      <c r="L8" s="17">
        <f t="shared" si="0"/>
        <v>239.26649162808425</v>
      </c>
      <c r="M8" s="17">
        <f t="shared" si="0"/>
        <v>27.344741900352489</v>
      </c>
      <c r="N8" s="17">
        <f t="shared" si="0"/>
        <v>1633.8483285460611</v>
      </c>
      <c r="O8" s="17"/>
      <c r="P8" s="17">
        <f t="shared" si="1"/>
        <v>8.6591682684449527</v>
      </c>
      <c r="Q8" s="17">
        <f t="shared" si="1"/>
        <v>15.951099441872284</v>
      </c>
      <c r="R8" s="17">
        <f t="shared" si="1"/>
        <v>1.8229827933568326</v>
      </c>
      <c r="S8" s="17">
        <f t="shared" si="1"/>
        <v>108.92322190307074</v>
      </c>
    </row>
    <row r="9" spans="1:19">
      <c r="A9">
        <v>5</v>
      </c>
      <c r="B9" s="9">
        <v>0.84027777777777779</v>
      </c>
      <c r="C9" s="1">
        <v>0</v>
      </c>
      <c r="D9" s="1">
        <v>15</v>
      </c>
      <c r="E9">
        <v>0.75</v>
      </c>
      <c r="F9">
        <f>149/900</f>
        <v>0.16555555555555557</v>
      </c>
      <c r="G9">
        <v>72</v>
      </c>
      <c r="H9">
        <v>75</v>
      </c>
      <c r="I9">
        <v>10</v>
      </c>
      <c r="J9">
        <v>162</v>
      </c>
      <c r="K9" s="17">
        <f t="shared" si="0"/>
        <v>246.10267710317237</v>
      </c>
      <c r="L9" s="17">
        <f t="shared" si="0"/>
        <v>256.35695531580456</v>
      </c>
      <c r="M9" s="17">
        <f t="shared" si="0"/>
        <v>34.180927375440611</v>
      </c>
      <c r="N9" s="17">
        <f t="shared" si="0"/>
        <v>553.73102348213786</v>
      </c>
      <c r="O9" s="17"/>
      <c r="P9" s="17">
        <f t="shared" si="1"/>
        <v>16.406845140211491</v>
      </c>
      <c r="Q9" s="17">
        <f t="shared" si="1"/>
        <v>17.090463687720305</v>
      </c>
      <c r="R9" s="17">
        <f t="shared" si="1"/>
        <v>2.2787284916960409</v>
      </c>
      <c r="S9" s="17">
        <f t="shared" si="1"/>
        <v>36.915401565475854</v>
      </c>
    </row>
    <row r="10" spans="1:19" ht="13.5" thickBot="1">
      <c r="A10" s="10">
        <v>6</v>
      </c>
      <c r="B10" s="11">
        <v>0.88194444444444453</v>
      </c>
      <c r="C10" s="12">
        <v>0</v>
      </c>
      <c r="D10" s="12">
        <v>15</v>
      </c>
      <c r="E10" s="10">
        <v>0.75</v>
      </c>
      <c r="F10" s="10">
        <f>330/900</f>
        <v>0.36666666666666664</v>
      </c>
      <c r="G10" s="10"/>
      <c r="H10" s="10">
        <v>145</v>
      </c>
      <c r="I10" s="10">
        <v>14</v>
      </c>
      <c r="J10" s="10">
        <v>922</v>
      </c>
      <c r="K10" s="18"/>
      <c r="L10" s="18">
        <f t="shared" ref="L10:L18" si="2">H10/$F10/(PI()*($E10^2))</f>
        <v>223.78149574133167</v>
      </c>
      <c r="M10" s="18">
        <f t="shared" ref="M10:M18" si="3">I10/$F10/(PI()*($E10^2))</f>
        <v>21.606489243990644</v>
      </c>
      <c r="N10" s="18">
        <f t="shared" ref="N10:N18" si="4">J10/$F10/(PI()*($E10^2))</f>
        <v>1422.9416487828121</v>
      </c>
      <c r="O10" s="18"/>
      <c r="P10" s="18"/>
      <c r="Q10" s="18">
        <f t="shared" ref="Q10:Q18" si="5">H10/$F10/(PI()*($E10^2))/($D10-$C10)</f>
        <v>14.918766382755445</v>
      </c>
      <c r="R10" s="18">
        <f t="shared" ref="R10:R18" si="6">I10/$F10/(PI()*($E10^2))/($D10-$C10)</f>
        <v>1.440432616266043</v>
      </c>
      <c r="S10" s="18">
        <f t="shared" ref="S10:S18" si="7">J10/$F10/(PI()*($E10^2))/($D10-$C10)</f>
        <v>94.862776585520805</v>
      </c>
    </row>
    <row r="11" spans="1:19">
      <c r="A11" t="s">
        <v>10</v>
      </c>
      <c r="B11" s="9">
        <v>0.9243055555555556</v>
      </c>
      <c r="C11" s="1">
        <v>80</v>
      </c>
      <c r="D11" s="1">
        <v>160</v>
      </c>
      <c r="E11">
        <v>0.6</v>
      </c>
      <c r="F11">
        <f>10/120</f>
        <v>8.3333333333333329E-2</v>
      </c>
      <c r="H11">
        <v>1</v>
      </c>
      <c r="I11">
        <v>10</v>
      </c>
      <c r="J11">
        <v>147</v>
      </c>
      <c r="K11" s="15"/>
      <c r="L11" s="15">
        <f t="shared" si="2"/>
        <v>10.610329539459689</v>
      </c>
      <c r="M11" s="15">
        <f t="shared" si="3"/>
        <v>106.10329539459688</v>
      </c>
      <c r="N11" s="15">
        <f t="shared" si="4"/>
        <v>1559.7184423005742</v>
      </c>
      <c r="O11" s="15"/>
      <c r="P11" s="15"/>
      <c r="Q11" s="15">
        <f t="shared" si="5"/>
        <v>0.13262911924324611</v>
      </c>
      <c r="R11" s="15">
        <f t="shared" si="6"/>
        <v>1.326291192432461</v>
      </c>
      <c r="S11" s="15">
        <f t="shared" si="7"/>
        <v>19.496480528757179</v>
      </c>
    </row>
    <row r="12" spans="1:19">
      <c r="A12" t="s">
        <v>3</v>
      </c>
      <c r="B12" s="9">
        <v>0.9375</v>
      </c>
      <c r="C12" s="1">
        <v>40</v>
      </c>
      <c r="D12" s="1">
        <v>80</v>
      </c>
      <c r="E12">
        <v>0.6</v>
      </c>
      <c r="F12">
        <v>1</v>
      </c>
      <c r="H12">
        <v>2</v>
      </c>
      <c r="I12">
        <v>42</v>
      </c>
      <c r="J12">
        <v>201</v>
      </c>
      <c r="K12" s="15"/>
      <c r="L12" s="15">
        <f t="shared" si="2"/>
        <v>1.7683882565766149</v>
      </c>
      <c r="M12" s="15">
        <f t="shared" si="3"/>
        <v>37.136153388108909</v>
      </c>
      <c r="N12" s="15">
        <f t="shared" si="4"/>
        <v>177.72301978594979</v>
      </c>
      <c r="O12" s="15"/>
      <c r="P12" s="15"/>
      <c r="Q12" s="15">
        <f t="shared" si="5"/>
        <v>4.4209706414415371E-2</v>
      </c>
      <c r="R12" s="15">
        <f t="shared" si="6"/>
        <v>0.9284038347027227</v>
      </c>
      <c r="S12" s="15">
        <f t="shared" si="7"/>
        <v>4.4430754946487445</v>
      </c>
    </row>
    <row r="13" spans="1:19">
      <c r="A13" t="s">
        <v>4</v>
      </c>
      <c r="B13" s="9">
        <v>0.94374999999999998</v>
      </c>
      <c r="C13" s="1">
        <v>15</v>
      </c>
      <c r="D13" s="1">
        <v>40</v>
      </c>
      <c r="E13">
        <v>0.6</v>
      </c>
      <c r="F13">
        <f>10/200</f>
        <v>0.05</v>
      </c>
      <c r="H13">
        <v>19</v>
      </c>
      <c r="I13">
        <v>4</v>
      </c>
      <c r="J13">
        <v>95</v>
      </c>
      <c r="K13" s="15"/>
      <c r="L13" s="15">
        <f t="shared" si="2"/>
        <v>335.99376874955681</v>
      </c>
      <c r="M13" s="15">
        <f t="shared" si="3"/>
        <v>70.735530263064589</v>
      </c>
      <c r="N13" s="15">
        <f t="shared" si="4"/>
        <v>1679.9688437477841</v>
      </c>
      <c r="O13" s="15"/>
      <c r="P13" s="15"/>
      <c r="Q13" s="15">
        <f t="shared" si="5"/>
        <v>13.439750749982272</v>
      </c>
      <c r="R13" s="15">
        <f t="shared" si="6"/>
        <v>2.8294212105225838</v>
      </c>
      <c r="S13" s="15">
        <f t="shared" si="7"/>
        <v>67.198753749911361</v>
      </c>
    </row>
    <row r="14" spans="1:19">
      <c r="A14" t="s">
        <v>5</v>
      </c>
      <c r="B14" s="9">
        <v>0.94791666666666663</v>
      </c>
      <c r="C14" s="1">
        <v>0</v>
      </c>
      <c r="D14" s="1">
        <v>15</v>
      </c>
      <c r="E14">
        <v>0.6</v>
      </c>
      <c r="F14">
        <f>245/900</f>
        <v>0.2722222222222222</v>
      </c>
      <c r="G14">
        <v>84</v>
      </c>
      <c r="H14">
        <v>31</v>
      </c>
      <c r="I14">
        <v>11</v>
      </c>
      <c r="J14">
        <v>158</v>
      </c>
      <c r="K14" s="15">
        <f>G14/$F14/(PI()*($E14^2))</f>
        <v>272.83704530039205</v>
      </c>
      <c r="L14" s="15">
        <f t="shared" si="2"/>
        <v>100.68986195609706</v>
      </c>
      <c r="M14" s="15">
        <f t="shared" si="3"/>
        <v>35.728660694098956</v>
      </c>
      <c r="N14" s="15">
        <f t="shared" si="4"/>
        <v>513.19348996978499</v>
      </c>
      <c r="O14" s="15"/>
      <c r="P14" s="15">
        <f>G14/$F14/(PI()*($E14^2))/($D14-$C14)</f>
        <v>18.189136353359469</v>
      </c>
      <c r="Q14" s="15">
        <f t="shared" si="5"/>
        <v>6.712657463739804</v>
      </c>
      <c r="R14" s="15">
        <f t="shared" si="6"/>
        <v>2.3819107129399302</v>
      </c>
      <c r="S14" s="15">
        <f t="shared" si="7"/>
        <v>34.212899331319001</v>
      </c>
    </row>
    <row r="15" spans="1:19">
      <c r="A15" t="s">
        <v>6</v>
      </c>
      <c r="B15" s="9">
        <v>0.95625000000000004</v>
      </c>
      <c r="C15" s="1">
        <v>80</v>
      </c>
      <c r="D15" s="1">
        <v>160</v>
      </c>
      <c r="E15">
        <v>0.6</v>
      </c>
      <c r="F15">
        <f>10/120</f>
        <v>8.3333333333333329E-2</v>
      </c>
      <c r="H15">
        <v>0</v>
      </c>
      <c r="I15">
        <v>7</v>
      </c>
      <c r="J15">
        <v>146</v>
      </c>
      <c r="K15" s="15"/>
      <c r="L15" s="15">
        <f t="shared" si="2"/>
        <v>0</v>
      </c>
      <c r="M15" s="15">
        <f t="shared" si="3"/>
        <v>74.272306776217818</v>
      </c>
      <c r="N15" s="15">
        <f t="shared" si="4"/>
        <v>1549.1081127611146</v>
      </c>
      <c r="O15" s="15"/>
      <c r="P15" s="15"/>
      <c r="Q15" s="15">
        <f t="shared" si="5"/>
        <v>0</v>
      </c>
      <c r="R15" s="15">
        <f t="shared" si="6"/>
        <v>0.9284038347027227</v>
      </c>
      <c r="S15" s="15">
        <f t="shared" si="7"/>
        <v>19.363851409513934</v>
      </c>
    </row>
    <row r="16" spans="1:19">
      <c r="A16" t="s">
        <v>7</v>
      </c>
      <c r="B16" s="9">
        <v>0.96597222222222223</v>
      </c>
      <c r="C16" s="1">
        <v>40</v>
      </c>
      <c r="D16" s="1">
        <v>80</v>
      </c>
      <c r="E16">
        <v>0.6</v>
      </c>
      <c r="F16">
        <v>1</v>
      </c>
      <c r="H16">
        <v>6</v>
      </c>
      <c r="I16">
        <v>44</v>
      </c>
      <c r="J16">
        <v>476</v>
      </c>
      <c r="K16" s="15"/>
      <c r="L16" s="15">
        <f t="shared" si="2"/>
        <v>5.3051647697298447</v>
      </c>
      <c r="M16" s="15">
        <f t="shared" si="3"/>
        <v>38.90454164468553</v>
      </c>
      <c r="N16" s="15">
        <f t="shared" si="4"/>
        <v>420.87640506523434</v>
      </c>
      <c r="O16" s="15"/>
      <c r="P16" s="15"/>
      <c r="Q16" s="15">
        <f t="shared" si="5"/>
        <v>0.13262911924324611</v>
      </c>
      <c r="R16" s="15">
        <f t="shared" si="6"/>
        <v>0.97261354111713827</v>
      </c>
      <c r="S16" s="15">
        <f t="shared" si="7"/>
        <v>10.521910126630859</v>
      </c>
    </row>
    <row r="17" spans="1:19">
      <c r="A17" t="s">
        <v>8</v>
      </c>
      <c r="B17" s="9">
        <v>0.97013888888888899</v>
      </c>
      <c r="C17" s="1">
        <v>15</v>
      </c>
      <c r="D17" s="1">
        <v>40</v>
      </c>
      <c r="E17">
        <v>0.6</v>
      </c>
      <c r="F17">
        <f>10/120</f>
        <v>8.3333333333333329E-2</v>
      </c>
      <c r="H17">
        <v>28</v>
      </c>
      <c r="I17">
        <v>5</v>
      </c>
      <c r="J17">
        <v>90</v>
      </c>
      <c r="K17" s="15"/>
      <c r="L17" s="15">
        <f t="shared" si="2"/>
        <v>297.08922710487127</v>
      </c>
      <c r="M17" s="15">
        <f t="shared" si="3"/>
        <v>53.051647697298442</v>
      </c>
      <c r="N17" s="15">
        <f t="shared" si="4"/>
        <v>954.92965855137197</v>
      </c>
      <c r="O17" s="15"/>
      <c r="P17" s="15"/>
      <c r="Q17" s="15">
        <f t="shared" si="5"/>
        <v>11.883569084194852</v>
      </c>
      <c r="R17" s="15">
        <f t="shared" si="6"/>
        <v>2.1220659078919377</v>
      </c>
      <c r="S17" s="15">
        <f t="shared" si="7"/>
        <v>38.197186342054877</v>
      </c>
    </row>
    <row r="18" spans="1:19">
      <c r="A18" t="s">
        <v>9</v>
      </c>
      <c r="B18" s="9">
        <v>0.97222222222222221</v>
      </c>
      <c r="C18" s="1">
        <v>0</v>
      </c>
      <c r="D18" s="1">
        <v>15</v>
      </c>
      <c r="E18">
        <v>0.6</v>
      </c>
      <c r="F18">
        <f>314/900</f>
        <v>0.34888888888888892</v>
      </c>
      <c r="H18">
        <v>68</v>
      </c>
      <c r="I18">
        <v>19</v>
      </c>
      <c r="J18">
        <v>325</v>
      </c>
      <c r="K18" s="15"/>
      <c r="L18" s="15">
        <f t="shared" si="2"/>
        <v>172.33337787020514</v>
      </c>
      <c r="M18" s="15">
        <f t="shared" si="3"/>
        <v>48.151973228439665</v>
      </c>
      <c r="N18" s="15">
        <f t="shared" si="4"/>
        <v>823.65217364436273</v>
      </c>
      <c r="O18" s="15"/>
      <c r="P18" s="15"/>
      <c r="Q18" s="15">
        <f t="shared" si="5"/>
        <v>11.488891858013677</v>
      </c>
      <c r="R18" s="15">
        <f t="shared" si="6"/>
        <v>3.2101315485626443</v>
      </c>
      <c r="S18" s="15">
        <f t="shared" si="7"/>
        <v>54.910144909624179</v>
      </c>
    </row>
    <row r="22" spans="1:19">
      <c r="C22" s="13"/>
      <c r="D22" s="13"/>
      <c r="E22" s="1"/>
    </row>
    <row r="23" spans="1:19">
      <c r="A23" s="2"/>
      <c r="B23" s="2"/>
      <c r="C23" s="2"/>
      <c r="D23" s="2"/>
      <c r="E23" s="3"/>
      <c r="F23" s="2"/>
      <c r="G23" s="2"/>
      <c r="H23" s="2"/>
    </row>
    <row r="24" spans="1:19">
      <c r="A24" s="51"/>
      <c r="B24" s="51"/>
      <c r="C24" s="51"/>
      <c r="D24" s="52"/>
      <c r="E24" s="52"/>
      <c r="F24" s="2"/>
      <c r="G24" s="2"/>
      <c r="H24" s="2"/>
    </row>
    <row r="25" spans="1:19">
      <c r="A25" s="2"/>
      <c r="B25" s="16"/>
      <c r="C25" s="53"/>
      <c r="D25" s="3"/>
      <c r="E25" s="3"/>
      <c r="F25" s="2"/>
      <c r="G25" s="2"/>
      <c r="H25" s="2"/>
    </row>
    <row r="26" spans="1:19">
      <c r="A26" s="2"/>
      <c r="B26" s="16"/>
      <c r="C26" s="53"/>
      <c r="D26" s="3"/>
      <c r="E26" s="3"/>
      <c r="F26" s="2"/>
      <c r="G26" s="2"/>
      <c r="H26" s="2"/>
    </row>
    <row r="27" spans="1:19">
      <c r="A27" s="2"/>
      <c r="B27" s="16"/>
      <c r="C27" s="53"/>
      <c r="D27" s="3"/>
      <c r="E27" s="3"/>
      <c r="F27" s="2"/>
      <c r="G27" s="2"/>
      <c r="H27" s="2"/>
    </row>
    <row r="28" spans="1:19">
      <c r="A28" s="2"/>
      <c r="B28" s="16"/>
      <c r="C28" s="53"/>
      <c r="D28" s="3"/>
      <c r="E28" s="3"/>
      <c r="F28" s="2"/>
      <c r="G28" s="2"/>
      <c r="H28" s="2"/>
    </row>
    <row r="29" spans="1:19">
      <c r="A29" s="2"/>
      <c r="B29" s="16"/>
      <c r="C29" s="53"/>
      <c r="D29" s="3"/>
      <c r="E29" s="3"/>
      <c r="F29" s="2"/>
      <c r="G29" s="2"/>
      <c r="H29" s="2"/>
    </row>
    <row r="30" spans="1:19">
      <c r="A30" s="2"/>
      <c r="B30" s="16"/>
      <c r="C30" s="53"/>
      <c r="D30" s="3"/>
      <c r="E30" s="3"/>
      <c r="F30" s="2"/>
      <c r="G30" s="2"/>
      <c r="H30" s="2"/>
    </row>
    <row r="31" spans="1:19">
      <c r="A31" s="2"/>
      <c r="B31" s="16"/>
      <c r="C31" s="53"/>
      <c r="D31" s="3"/>
      <c r="E31" s="3"/>
      <c r="F31" s="2"/>
      <c r="G31" s="2"/>
      <c r="H31" s="2"/>
    </row>
    <row r="32" spans="1:19">
      <c r="A32" s="2"/>
      <c r="B32" s="16"/>
      <c r="C32" s="53"/>
      <c r="D32" s="3"/>
      <c r="E32" s="3"/>
      <c r="F32" s="2"/>
      <c r="G32" s="2"/>
      <c r="H32" s="2"/>
    </row>
    <row r="33" spans="1:8">
      <c r="A33" s="2"/>
      <c r="B33" s="16"/>
      <c r="C33" s="53"/>
      <c r="D33" s="3"/>
      <c r="E33" s="3"/>
      <c r="F33" s="2"/>
      <c r="G33" s="2"/>
      <c r="H33" s="2"/>
    </row>
    <row r="34" spans="1:8">
      <c r="A34" s="2"/>
      <c r="B34" s="16"/>
      <c r="C34" s="53"/>
      <c r="D34" s="3"/>
      <c r="E34" s="3"/>
      <c r="F34" s="2"/>
      <c r="G34" s="2"/>
      <c r="H34" s="2"/>
    </row>
    <row r="35" spans="1:8">
      <c r="A35" s="2"/>
      <c r="B35" s="16"/>
      <c r="C35" s="53"/>
      <c r="D35" s="3"/>
      <c r="E35" s="3"/>
      <c r="F35" s="2"/>
      <c r="G35" s="2"/>
      <c r="H35" s="2"/>
    </row>
    <row r="36" spans="1:8">
      <c r="A36" s="2"/>
      <c r="B36" s="16"/>
      <c r="C36" s="53"/>
      <c r="D36" s="3"/>
      <c r="E36" s="3"/>
      <c r="F36" s="2"/>
      <c r="G36" s="2"/>
      <c r="H36" s="2"/>
    </row>
    <row r="37" spans="1:8">
      <c r="A37" s="2"/>
      <c r="B37" s="16"/>
      <c r="C37" s="53"/>
      <c r="D37" s="3"/>
      <c r="E37" s="3"/>
      <c r="F37" s="2"/>
      <c r="G37" s="2"/>
      <c r="H37" s="2"/>
    </row>
    <row r="38" spans="1:8">
      <c r="A38" s="2"/>
      <c r="B38" s="16"/>
      <c r="C38" s="53"/>
      <c r="D38" s="3"/>
      <c r="E38" s="3"/>
      <c r="F38" s="2"/>
      <c r="G38" s="2"/>
      <c r="H38" s="2"/>
    </row>
    <row r="39" spans="1:8">
      <c r="A39" s="2"/>
      <c r="B39" s="2"/>
      <c r="C39" s="3"/>
      <c r="D39" s="3"/>
      <c r="E39" s="2"/>
      <c r="F39" s="2"/>
      <c r="G39" s="2"/>
      <c r="H39" s="2"/>
    </row>
    <row r="40" spans="1:8">
      <c r="A40" s="2"/>
      <c r="B40" s="2"/>
      <c r="C40" s="3"/>
      <c r="D40" s="3"/>
      <c r="E40" s="2"/>
      <c r="F40" s="2"/>
      <c r="G40" s="2"/>
      <c r="H40" s="2"/>
    </row>
    <row r="41" spans="1:8">
      <c r="A41" s="2"/>
      <c r="B41" s="2"/>
      <c r="C41" s="3"/>
      <c r="D41" s="3"/>
      <c r="E41" s="2"/>
      <c r="F41" s="2"/>
      <c r="G41" s="2"/>
      <c r="H41" s="2"/>
    </row>
    <row r="42" spans="1:8">
      <c r="A42" s="2"/>
      <c r="B42" s="2"/>
      <c r="C42" s="3"/>
      <c r="D42" s="3"/>
      <c r="E42" s="2"/>
      <c r="F42" s="2"/>
      <c r="G42" s="2"/>
      <c r="H42" s="2"/>
    </row>
    <row r="43" spans="1:8">
      <c r="A43" s="2"/>
      <c r="B43" s="2"/>
      <c r="C43" s="3"/>
      <c r="D43" s="3"/>
      <c r="E43" s="2"/>
      <c r="F43" s="2"/>
      <c r="G43" s="2"/>
      <c r="H43" s="2"/>
    </row>
  </sheetData>
  <mergeCells count="6">
    <mergeCell ref="G2:J2"/>
    <mergeCell ref="G3:I3"/>
    <mergeCell ref="K2:N2"/>
    <mergeCell ref="P2:S2"/>
    <mergeCell ref="K3:M3"/>
    <mergeCell ref="P3:R3"/>
  </mergeCells>
  <phoneticPr fontId="6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T71"/>
  <sheetViews>
    <sheetView workbookViewId="0">
      <pane ySplit="4" topLeftCell="A5" activePane="bottomLeft" state="frozen"/>
      <selection pane="bottomLeft" activeCell="K4" sqref="K4:S4"/>
    </sheetView>
  </sheetViews>
  <sheetFormatPr defaultColWidth="8.85546875" defaultRowHeight="12.75"/>
  <cols>
    <col min="1" max="1" width="14.42578125" bestFit="1" customWidth="1"/>
    <col min="3" max="3" width="5.42578125" bestFit="1" customWidth="1"/>
    <col min="4" max="4" width="8.42578125" style="20" bestFit="1" customWidth="1"/>
    <col min="5" max="5" width="6.42578125" style="1" bestFit="1" customWidth="1"/>
    <col min="6" max="6" width="6.7109375" style="1" bestFit="1" customWidth="1"/>
    <col min="7" max="7" width="9.28515625" bestFit="1" customWidth="1"/>
    <col min="8" max="8" width="5.7109375" bestFit="1" customWidth="1"/>
    <col min="9" max="9" width="8" style="15" bestFit="1" customWidth="1"/>
    <col min="10" max="10" width="12" bestFit="1" customWidth="1"/>
    <col min="11" max="11" width="8.7109375" bestFit="1" customWidth="1"/>
    <col min="12" max="12" width="8.28515625" bestFit="1" customWidth="1"/>
    <col min="13" max="13" width="8.7109375" bestFit="1" customWidth="1"/>
    <col min="14" max="14" width="13.140625" customWidth="1"/>
  </cols>
  <sheetData>
    <row r="1" spans="1:19">
      <c r="A1" s="19" t="s">
        <v>60</v>
      </c>
    </row>
    <row r="2" spans="1:19">
      <c r="A2" s="19" t="s">
        <v>61</v>
      </c>
    </row>
    <row r="3" spans="1:19">
      <c r="N3" s="75" t="s">
        <v>62</v>
      </c>
      <c r="O3" s="75"/>
      <c r="P3" s="75"/>
      <c r="Q3" s="75" t="s">
        <v>63</v>
      </c>
      <c r="R3" s="75"/>
      <c r="S3" s="75"/>
    </row>
    <row r="4" spans="1:19" s="25" customFormat="1" ht="51.75" thickBot="1">
      <c r="A4" s="21" t="s">
        <v>64</v>
      </c>
      <c r="B4" s="21" t="s">
        <v>65</v>
      </c>
      <c r="C4" s="21" t="s">
        <v>49</v>
      </c>
      <c r="D4" s="22" t="s">
        <v>59</v>
      </c>
      <c r="E4" s="23" t="s">
        <v>66</v>
      </c>
      <c r="F4" s="23" t="s">
        <v>67</v>
      </c>
      <c r="G4" s="21" t="s">
        <v>68</v>
      </c>
      <c r="H4" s="21" t="s">
        <v>69</v>
      </c>
      <c r="I4" s="24" t="s">
        <v>70</v>
      </c>
      <c r="J4" s="21" t="s">
        <v>53</v>
      </c>
      <c r="K4" s="21" t="s">
        <v>1</v>
      </c>
      <c r="L4" s="21" t="s">
        <v>0</v>
      </c>
      <c r="M4" s="21" t="s">
        <v>2</v>
      </c>
      <c r="N4" s="21" t="s">
        <v>1</v>
      </c>
      <c r="O4" s="21" t="s">
        <v>0</v>
      </c>
      <c r="P4" s="21" t="s">
        <v>2</v>
      </c>
      <c r="Q4" s="21" t="s">
        <v>1</v>
      </c>
      <c r="R4" s="21" t="s">
        <v>0</v>
      </c>
      <c r="S4" s="21" t="s">
        <v>2</v>
      </c>
    </row>
    <row r="5" spans="1:19">
      <c r="A5" t="s">
        <v>71</v>
      </c>
      <c r="B5" s="26">
        <v>39014</v>
      </c>
      <c r="C5" s="9">
        <v>0.73541666666666661</v>
      </c>
      <c r="D5" s="20">
        <f>B5-38717+C5</f>
        <v>297.73541666666665</v>
      </c>
      <c r="E5" s="1">
        <v>0</v>
      </c>
      <c r="F5" s="1">
        <v>10</v>
      </c>
      <c r="G5">
        <v>75</v>
      </c>
      <c r="H5">
        <v>571</v>
      </c>
      <c r="I5" s="15">
        <f>(F5-E5)*PI()*((G5/100)/2)^2</f>
        <v>4.4178646691106467</v>
      </c>
      <c r="J5">
        <v>1</v>
      </c>
      <c r="K5">
        <v>3</v>
      </c>
      <c r="L5">
        <v>6</v>
      </c>
      <c r="M5">
        <v>0</v>
      </c>
      <c r="N5">
        <f t="shared" ref="N5:P20" si="0">K5/$J5/$I5</f>
        <v>0.67906109052542007</v>
      </c>
      <c r="O5">
        <f t="shared" si="0"/>
        <v>1.3581221810508401</v>
      </c>
      <c r="P5">
        <f t="shared" si="0"/>
        <v>0</v>
      </c>
      <c r="Q5">
        <f>N5*($F5-$E5)</f>
        <v>6.7906109052542005</v>
      </c>
      <c r="R5">
        <f>O5*($F5-$E5)</f>
        <v>13.581221810508401</v>
      </c>
      <c r="S5">
        <f>P5*($F5-$E5)</f>
        <v>0</v>
      </c>
    </row>
    <row r="6" spans="1:19">
      <c r="A6" t="s">
        <v>72</v>
      </c>
      <c r="B6" s="26">
        <v>39014</v>
      </c>
      <c r="C6" s="9">
        <v>0.77708333333333324</v>
      </c>
      <c r="D6" s="20">
        <f t="shared" ref="D6:D52" si="1">B6-38717+C6</f>
        <v>297.77708333333334</v>
      </c>
      <c r="E6" s="1">
        <v>0</v>
      </c>
      <c r="F6" s="1">
        <v>10</v>
      </c>
      <c r="G6">
        <v>75</v>
      </c>
      <c r="H6">
        <v>571</v>
      </c>
      <c r="I6" s="15">
        <f t="shared" ref="I6:I52" si="2">(F6-E6)*PI()*((G6/100)/2)^2</f>
        <v>4.4178646691106467</v>
      </c>
      <c r="J6">
        <v>1</v>
      </c>
      <c r="K6">
        <v>19</v>
      </c>
      <c r="L6">
        <v>11</v>
      </c>
      <c r="M6">
        <v>0</v>
      </c>
      <c r="N6">
        <f t="shared" si="0"/>
        <v>4.3007202399943276</v>
      </c>
      <c r="O6">
        <f t="shared" si="0"/>
        <v>2.4898906652598738</v>
      </c>
      <c r="P6">
        <f t="shared" si="0"/>
        <v>0</v>
      </c>
      <c r="Q6">
        <f t="shared" ref="Q6:S52" si="3">N6*($F6-$E6)</f>
        <v>43.007202399943274</v>
      </c>
      <c r="R6">
        <f t="shared" si="3"/>
        <v>24.89890665259874</v>
      </c>
      <c r="S6">
        <f t="shared" si="3"/>
        <v>0</v>
      </c>
    </row>
    <row r="7" spans="1:19">
      <c r="A7" t="s">
        <v>73</v>
      </c>
      <c r="B7" s="26">
        <v>39014</v>
      </c>
      <c r="C7" s="9">
        <v>0.82847222222222217</v>
      </c>
      <c r="D7" s="20">
        <f t="shared" si="1"/>
        <v>297.82847222222222</v>
      </c>
      <c r="E7" s="1">
        <v>0</v>
      </c>
      <c r="F7" s="1">
        <v>10</v>
      </c>
      <c r="G7">
        <v>75</v>
      </c>
      <c r="H7">
        <v>571</v>
      </c>
      <c r="I7" s="15">
        <f t="shared" si="2"/>
        <v>4.4178646691106467</v>
      </c>
      <c r="J7">
        <f>150/400</f>
        <v>0.375</v>
      </c>
      <c r="K7">
        <v>261</v>
      </c>
      <c r="L7">
        <v>30</v>
      </c>
      <c r="M7">
        <v>247</v>
      </c>
      <c r="N7">
        <f t="shared" si="0"/>
        <v>157.54217300189745</v>
      </c>
      <c r="O7">
        <f t="shared" si="0"/>
        <v>18.108295747344535</v>
      </c>
      <c r="P7">
        <f t="shared" si="0"/>
        <v>149.09163498647001</v>
      </c>
      <c r="Q7">
        <f t="shared" si="3"/>
        <v>1575.4217300189746</v>
      </c>
      <c r="R7">
        <f t="shared" si="3"/>
        <v>181.08295747344533</v>
      </c>
      <c r="S7">
        <f t="shared" si="3"/>
        <v>1490.9163498647001</v>
      </c>
    </row>
    <row r="8" spans="1:19">
      <c r="A8" t="s">
        <v>74</v>
      </c>
      <c r="B8" s="26">
        <v>39014</v>
      </c>
      <c r="C8" s="9">
        <v>0.86041666666666661</v>
      </c>
      <c r="D8" s="20">
        <f t="shared" si="1"/>
        <v>297.86041666666665</v>
      </c>
      <c r="E8" s="1">
        <v>0</v>
      </c>
      <c r="F8" s="1">
        <v>10</v>
      </c>
      <c r="G8">
        <v>75</v>
      </c>
      <c r="H8">
        <v>571</v>
      </c>
      <c r="I8" s="15">
        <f t="shared" si="2"/>
        <v>4.4178646691106467</v>
      </c>
      <c r="J8">
        <f>162/400</f>
        <v>0.40500000000000003</v>
      </c>
      <c r="K8">
        <v>419</v>
      </c>
      <c r="L8">
        <v>44</v>
      </c>
      <c r="M8">
        <v>299</v>
      </c>
      <c r="N8">
        <f t="shared" si="0"/>
        <v>234.1782690783136</v>
      </c>
      <c r="O8">
        <f t="shared" si="0"/>
        <v>24.591512743307394</v>
      </c>
      <c r="P8">
        <f t="shared" si="0"/>
        <v>167.11050705111163</v>
      </c>
      <c r="Q8">
        <f t="shared" si="3"/>
        <v>2341.7826907831359</v>
      </c>
      <c r="R8">
        <f t="shared" si="3"/>
        <v>245.91512743307393</v>
      </c>
      <c r="S8">
        <f t="shared" si="3"/>
        <v>1671.1050705111163</v>
      </c>
    </row>
    <row r="9" spans="1:19">
      <c r="A9" t="s">
        <v>75</v>
      </c>
      <c r="B9" s="26">
        <v>39014</v>
      </c>
      <c r="C9" s="9">
        <v>0.90208333333333324</v>
      </c>
      <c r="D9" s="20">
        <f t="shared" si="1"/>
        <v>297.90208333333334</v>
      </c>
      <c r="E9" s="1">
        <v>0</v>
      </c>
      <c r="F9" s="1">
        <v>10</v>
      </c>
      <c r="G9">
        <v>75</v>
      </c>
      <c r="H9">
        <v>571</v>
      </c>
      <c r="I9" s="15">
        <f t="shared" si="2"/>
        <v>4.4178646691106467</v>
      </c>
      <c r="J9">
        <v>1</v>
      </c>
      <c r="K9">
        <v>65</v>
      </c>
      <c r="L9">
        <v>13</v>
      </c>
      <c r="M9">
        <v>203</v>
      </c>
      <c r="N9">
        <f t="shared" si="0"/>
        <v>14.712990294717436</v>
      </c>
      <c r="O9">
        <f t="shared" si="0"/>
        <v>2.9425980589434872</v>
      </c>
      <c r="P9">
        <f t="shared" si="0"/>
        <v>45.949800458886763</v>
      </c>
      <c r="Q9">
        <f t="shared" si="3"/>
        <v>147.12990294717434</v>
      </c>
      <c r="R9">
        <f t="shared" si="3"/>
        <v>29.425980589434872</v>
      </c>
      <c r="S9">
        <f t="shared" si="3"/>
        <v>459.49800458886762</v>
      </c>
    </row>
    <row r="10" spans="1:19">
      <c r="A10" t="s">
        <v>76</v>
      </c>
      <c r="B10" s="26">
        <v>39014</v>
      </c>
      <c r="C10" s="9">
        <v>0.94166666666666676</v>
      </c>
      <c r="D10" s="20">
        <f t="shared" si="1"/>
        <v>297.94166666666666</v>
      </c>
      <c r="E10" s="1">
        <v>0</v>
      </c>
      <c r="F10" s="1">
        <v>10</v>
      </c>
      <c r="G10">
        <v>75</v>
      </c>
      <c r="H10">
        <v>571</v>
      </c>
      <c r="I10" s="15">
        <f t="shared" si="2"/>
        <v>4.4178646691106467</v>
      </c>
      <c r="J10">
        <v>1</v>
      </c>
      <c r="K10">
        <v>114</v>
      </c>
      <c r="L10">
        <v>16</v>
      </c>
      <c r="M10">
        <v>166</v>
      </c>
      <c r="N10">
        <f t="shared" si="0"/>
        <v>25.804321439965964</v>
      </c>
      <c r="O10">
        <f t="shared" si="0"/>
        <v>3.6216591494689072</v>
      </c>
      <c r="P10">
        <f t="shared" si="0"/>
        <v>37.574713675739915</v>
      </c>
      <c r="Q10">
        <f t="shared" si="3"/>
        <v>258.04321439965963</v>
      </c>
      <c r="R10">
        <f t="shared" si="3"/>
        <v>36.216591494689069</v>
      </c>
      <c r="S10">
        <f t="shared" si="3"/>
        <v>375.74713675739918</v>
      </c>
    </row>
    <row r="11" spans="1:19">
      <c r="A11" s="27">
        <v>1</v>
      </c>
      <c r="B11" s="28">
        <v>39014</v>
      </c>
      <c r="C11" s="29">
        <v>0.9868055555555556</v>
      </c>
      <c r="D11" s="30">
        <f t="shared" si="1"/>
        <v>297.98680555555558</v>
      </c>
      <c r="E11" s="31">
        <v>80</v>
      </c>
      <c r="F11" s="31">
        <v>160</v>
      </c>
      <c r="G11" s="27">
        <v>60</v>
      </c>
      <c r="H11" s="27">
        <v>211</v>
      </c>
      <c r="I11" s="32">
        <f t="shared" si="2"/>
        <v>22.61946710584651</v>
      </c>
      <c r="J11" s="27">
        <v>1</v>
      </c>
      <c r="K11" s="27">
        <v>214</v>
      </c>
      <c r="L11" s="27"/>
      <c r="M11" s="27">
        <v>735</v>
      </c>
      <c r="N11">
        <f t="shared" si="0"/>
        <v>9.4608771726848904</v>
      </c>
      <c r="P11">
        <f t="shared" si="0"/>
        <v>32.494134214595299</v>
      </c>
      <c r="Q11">
        <f t="shared" si="3"/>
        <v>756.8701738147912</v>
      </c>
      <c r="S11">
        <f t="shared" si="3"/>
        <v>2599.530737167624</v>
      </c>
    </row>
    <row r="12" spans="1:19">
      <c r="A12" s="2">
        <v>1</v>
      </c>
      <c r="B12" s="33">
        <v>39014</v>
      </c>
      <c r="C12" s="16">
        <v>0.99513888888888891</v>
      </c>
      <c r="D12" s="34">
        <f t="shared" si="1"/>
        <v>297.9951388888889</v>
      </c>
      <c r="E12" s="3">
        <v>40</v>
      </c>
      <c r="F12" s="3">
        <v>80</v>
      </c>
      <c r="G12" s="2">
        <v>60</v>
      </c>
      <c r="H12" s="2">
        <v>211</v>
      </c>
      <c r="I12" s="17">
        <f t="shared" si="2"/>
        <v>11.309733552923255</v>
      </c>
      <c r="J12" s="35">
        <v>1</v>
      </c>
      <c r="K12" s="35">
        <v>116</v>
      </c>
      <c r="L12" s="2"/>
      <c r="M12" s="35">
        <v>258</v>
      </c>
      <c r="N12">
        <f t="shared" si="0"/>
        <v>10.256651888144367</v>
      </c>
      <c r="P12">
        <f t="shared" si="0"/>
        <v>22.812208509838332</v>
      </c>
      <c r="Q12">
        <f t="shared" si="3"/>
        <v>410.26607552577468</v>
      </c>
      <c r="S12">
        <f t="shared" si="3"/>
        <v>912.48834039353324</v>
      </c>
    </row>
    <row r="13" spans="1:19">
      <c r="A13" s="2">
        <v>1</v>
      </c>
      <c r="B13" s="33">
        <v>39014</v>
      </c>
      <c r="C13" s="16">
        <v>0.99930555555555556</v>
      </c>
      <c r="D13" s="34">
        <f t="shared" si="1"/>
        <v>297.99930555555557</v>
      </c>
      <c r="E13" s="3">
        <v>10</v>
      </c>
      <c r="F13" s="3">
        <v>40</v>
      </c>
      <c r="G13" s="2">
        <v>60</v>
      </c>
      <c r="H13" s="2">
        <v>211</v>
      </c>
      <c r="I13" s="17">
        <f t="shared" si="2"/>
        <v>8.4823001646924396</v>
      </c>
      <c r="J13" s="2">
        <f>168/400</f>
        <v>0.42</v>
      </c>
      <c r="K13" s="35">
        <v>383</v>
      </c>
      <c r="L13" s="35">
        <v>25</v>
      </c>
      <c r="M13" s="35">
        <v>354</v>
      </c>
      <c r="N13">
        <f t="shared" si="0"/>
        <v>107.5067781379117</v>
      </c>
      <c r="O13">
        <f t="shared" si="0"/>
        <v>7.0174137165738699</v>
      </c>
      <c r="P13">
        <f t="shared" si="0"/>
        <v>99.366578226686002</v>
      </c>
      <c r="Q13">
        <f t="shared" si="3"/>
        <v>3225.203344137351</v>
      </c>
      <c r="R13">
        <f t="shared" si="3"/>
        <v>210.5224114972161</v>
      </c>
      <c r="S13">
        <f t="shared" si="3"/>
        <v>2980.9973468005801</v>
      </c>
    </row>
    <row r="14" spans="1:19">
      <c r="A14" s="2">
        <v>1</v>
      </c>
      <c r="B14" s="33">
        <v>39015</v>
      </c>
      <c r="C14" s="16">
        <v>2.0833333333333333E-3</v>
      </c>
      <c r="D14" s="34">
        <f t="shared" si="1"/>
        <v>298.00208333333336</v>
      </c>
      <c r="E14" s="3">
        <v>0</v>
      </c>
      <c r="F14" s="36">
        <v>10</v>
      </c>
      <c r="G14" s="2">
        <v>60</v>
      </c>
      <c r="H14" s="2">
        <v>211</v>
      </c>
      <c r="I14" s="17">
        <f t="shared" si="2"/>
        <v>2.8274333882308138</v>
      </c>
      <c r="J14" s="2">
        <f>159/450</f>
        <v>0.35333333333333333</v>
      </c>
      <c r="K14" s="35">
        <v>25</v>
      </c>
      <c r="L14" s="35">
        <v>3</v>
      </c>
      <c r="M14" s="35">
        <v>5</v>
      </c>
      <c r="N14">
        <f t="shared" si="0"/>
        <v>25.024362121367194</v>
      </c>
      <c r="O14">
        <f t="shared" si="0"/>
        <v>3.0029234545640633</v>
      </c>
      <c r="P14">
        <f t="shared" si="0"/>
        <v>5.0048724242734384</v>
      </c>
      <c r="Q14">
        <f t="shared" si="3"/>
        <v>250.24362121367193</v>
      </c>
      <c r="R14">
        <f t="shared" si="3"/>
        <v>30.029234545640634</v>
      </c>
      <c r="S14">
        <f t="shared" si="3"/>
        <v>50.04872424273438</v>
      </c>
    </row>
    <row r="15" spans="1:19">
      <c r="A15" s="2">
        <v>2</v>
      </c>
      <c r="B15" s="33">
        <v>39015</v>
      </c>
      <c r="C15" s="16">
        <v>9.7222222222222224E-3</v>
      </c>
      <c r="D15" s="34">
        <f t="shared" si="1"/>
        <v>298.00972222222219</v>
      </c>
      <c r="E15" s="3">
        <v>80</v>
      </c>
      <c r="F15" s="3">
        <v>160</v>
      </c>
      <c r="G15" s="2">
        <v>60</v>
      </c>
      <c r="H15" s="2">
        <v>211</v>
      </c>
      <c r="I15" s="17">
        <f t="shared" si="2"/>
        <v>22.61946710584651</v>
      </c>
      <c r="J15" s="35">
        <v>1</v>
      </c>
      <c r="K15" s="35">
        <v>235</v>
      </c>
      <c r="L15" s="2"/>
      <c r="M15" s="35">
        <v>998</v>
      </c>
      <c r="N15">
        <f t="shared" si="0"/>
        <v>10.389281007387613</v>
      </c>
      <c r="P15">
        <f t="shared" si="0"/>
        <v>44.121287001586545</v>
      </c>
      <c r="Q15">
        <f t="shared" si="3"/>
        <v>831.14248059100896</v>
      </c>
      <c r="S15">
        <f t="shared" si="3"/>
        <v>3529.7029601269237</v>
      </c>
    </row>
    <row r="16" spans="1:19">
      <c r="A16" s="2">
        <v>2</v>
      </c>
      <c r="B16" s="33">
        <v>39015</v>
      </c>
      <c r="C16" s="16">
        <v>1.5972222222222224E-2</v>
      </c>
      <c r="D16" s="34">
        <f t="shared" si="1"/>
        <v>298.01597222222222</v>
      </c>
      <c r="E16" s="3">
        <v>40</v>
      </c>
      <c r="F16" s="3">
        <v>80</v>
      </c>
      <c r="G16" s="2">
        <v>60</v>
      </c>
      <c r="H16" s="2">
        <v>211</v>
      </c>
      <c r="I16" s="17">
        <f t="shared" si="2"/>
        <v>11.309733552923255</v>
      </c>
      <c r="J16" s="35">
        <v>1</v>
      </c>
      <c r="K16" s="35">
        <v>202</v>
      </c>
      <c r="L16" s="2"/>
      <c r="M16" s="35">
        <v>438</v>
      </c>
      <c r="N16">
        <f t="shared" si="0"/>
        <v>17.860721391423812</v>
      </c>
      <c r="P16">
        <f t="shared" si="0"/>
        <v>38.727702819027868</v>
      </c>
      <c r="Q16">
        <f t="shared" si="3"/>
        <v>714.42885565695246</v>
      </c>
      <c r="S16">
        <f t="shared" si="3"/>
        <v>1549.1081127611146</v>
      </c>
    </row>
    <row r="17" spans="1:19">
      <c r="A17" s="2">
        <v>2</v>
      </c>
      <c r="B17" s="33">
        <v>39015</v>
      </c>
      <c r="C17" s="16">
        <v>2.0833333333333332E-2</v>
      </c>
      <c r="D17" s="34">
        <f t="shared" si="1"/>
        <v>298.02083333333331</v>
      </c>
      <c r="E17" s="3">
        <v>10</v>
      </c>
      <c r="F17" s="3">
        <v>40</v>
      </c>
      <c r="G17" s="2">
        <v>60</v>
      </c>
      <c r="H17" s="2">
        <v>211</v>
      </c>
      <c r="I17" s="17">
        <f t="shared" si="2"/>
        <v>8.4823001646924396</v>
      </c>
      <c r="J17" s="2">
        <f>161/400</f>
        <v>0.40250000000000002</v>
      </c>
      <c r="K17" s="35">
        <v>391</v>
      </c>
      <c r="L17" s="35">
        <v>61</v>
      </c>
      <c r="M17" s="35">
        <v>357</v>
      </c>
      <c r="N17">
        <f t="shared" si="0"/>
        <v>114.52419185448555</v>
      </c>
      <c r="O17">
        <f t="shared" si="0"/>
        <v>17.86694553228547</v>
      </c>
      <c r="P17">
        <f t="shared" si="0"/>
        <v>104.56556647583464</v>
      </c>
      <c r="Q17">
        <f t="shared" si="3"/>
        <v>3435.7257556345667</v>
      </c>
      <c r="R17">
        <f t="shared" si="3"/>
        <v>536.00836596856414</v>
      </c>
      <c r="S17">
        <f t="shared" si="3"/>
        <v>3136.9669942750393</v>
      </c>
    </row>
    <row r="18" spans="1:19">
      <c r="A18" s="37">
        <v>2</v>
      </c>
      <c r="B18" s="38">
        <v>39015</v>
      </c>
      <c r="C18" s="39">
        <v>2.5000000000000001E-2</v>
      </c>
      <c r="D18" s="40">
        <f t="shared" si="1"/>
        <v>298.02499999999998</v>
      </c>
      <c r="E18" s="41">
        <v>0</v>
      </c>
      <c r="F18" s="42">
        <v>10</v>
      </c>
      <c r="G18" s="37">
        <v>60</v>
      </c>
      <c r="H18" s="37">
        <v>211</v>
      </c>
      <c r="I18" s="43">
        <f t="shared" si="2"/>
        <v>2.8274333882308138</v>
      </c>
      <c r="J18" s="37">
        <f>159/450</f>
        <v>0.35333333333333333</v>
      </c>
      <c r="K18" s="37">
        <v>32</v>
      </c>
      <c r="L18" s="37">
        <v>8</v>
      </c>
      <c r="M18" s="37">
        <v>20</v>
      </c>
      <c r="N18">
        <f t="shared" si="0"/>
        <v>32.031183515350001</v>
      </c>
      <c r="O18">
        <f t="shared" si="0"/>
        <v>8.0077958788375003</v>
      </c>
      <c r="P18">
        <f t="shared" si="0"/>
        <v>20.019489697093753</v>
      </c>
      <c r="Q18">
        <f t="shared" si="3"/>
        <v>320.3118351535</v>
      </c>
      <c r="R18">
        <f t="shared" si="3"/>
        <v>80.077958788375</v>
      </c>
      <c r="S18">
        <f t="shared" si="3"/>
        <v>200.19489697093752</v>
      </c>
    </row>
    <row r="19" spans="1:19">
      <c r="A19" t="s">
        <v>77</v>
      </c>
      <c r="B19" s="26">
        <v>39015</v>
      </c>
      <c r="C19" s="9">
        <v>0.20486111111111113</v>
      </c>
      <c r="D19" s="30">
        <f t="shared" si="1"/>
        <v>298.20486111111109</v>
      </c>
      <c r="E19" s="1">
        <v>0</v>
      </c>
      <c r="F19" s="44">
        <v>10</v>
      </c>
      <c r="G19">
        <v>75</v>
      </c>
      <c r="H19">
        <v>571</v>
      </c>
      <c r="I19" s="15">
        <f t="shared" si="2"/>
        <v>4.4178646691106467</v>
      </c>
      <c r="J19">
        <f>158/400</f>
        <v>0.39500000000000002</v>
      </c>
      <c r="K19">
        <v>303</v>
      </c>
      <c r="L19">
        <v>50</v>
      </c>
      <c r="M19">
        <v>27</v>
      </c>
      <c r="N19">
        <f t="shared" si="0"/>
        <v>173.63334213434791</v>
      </c>
      <c r="O19">
        <f t="shared" si="0"/>
        <v>28.652366688836288</v>
      </c>
      <c r="P19">
        <f t="shared" si="0"/>
        <v>15.472278011971596</v>
      </c>
      <c r="Q19">
        <f t="shared" si="3"/>
        <v>1736.3334213434791</v>
      </c>
      <c r="R19">
        <f t="shared" si="3"/>
        <v>286.52366688836287</v>
      </c>
      <c r="S19">
        <f t="shared" si="3"/>
        <v>154.72278011971596</v>
      </c>
    </row>
    <row r="20" spans="1:19">
      <c r="A20" t="s">
        <v>78</v>
      </c>
      <c r="B20" s="26">
        <v>39015</v>
      </c>
      <c r="C20" s="9">
        <v>0.23958333333333334</v>
      </c>
      <c r="D20" s="34">
        <f t="shared" si="1"/>
        <v>298.23958333333331</v>
      </c>
      <c r="E20" s="1">
        <v>0</v>
      </c>
      <c r="F20" s="44">
        <v>10</v>
      </c>
      <c r="G20">
        <v>75</v>
      </c>
      <c r="H20">
        <v>571</v>
      </c>
      <c r="I20" s="15">
        <f t="shared" si="2"/>
        <v>4.4178646691106467</v>
      </c>
      <c r="J20">
        <v>1</v>
      </c>
      <c r="K20">
        <v>246</v>
      </c>
      <c r="L20">
        <v>4</v>
      </c>
      <c r="M20">
        <v>9</v>
      </c>
      <c r="N20">
        <f t="shared" si="0"/>
        <v>55.683009423084449</v>
      </c>
      <c r="O20">
        <f t="shared" si="0"/>
        <v>0.9054147873672268</v>
      </c>
      <c r="P20">
        <f t="shared" si="0"/>
        <v>2.0371832715762603</v>
      </c>
      <c r="Q20">
        <f t="shared" si="3"/>
        <v>556.83009423084445</v>
      </c>
      <c r="R20">
        <f t="shared" si="3"/>
        <v>9.0541478736722674</v>
      </c>
      <c r="S20">
        <f t="shared" si="3"/>
        <v>20.371832715762604</v>
      </c>
    </row>
    <row r="21" spans="1:19">
      <c r="A21" t="s">
        <v>79</v>
      </c>
      <c r="B21" s="26">
        <v>39015</v>
      </c>
      <c r="C21" s="9">
        <v>0.28055555555555556</v>
      </c>
      <c r="D21" s="34">
        <f t="shared" si="1"/>
        <v>298.28055555555557</v>
      </c>
      <c r="E21" s="1">
        <v>0</v>
      </c>
      <c r="F21" s="44">
        <v>10</v>
      </c>
      <c r="G21">
        <v>75</v>
      </c>
      <c r="H21">
        <v>571</v>
      </c>
      <c r="I21" s="15">
        <f t="shared" si="2"/>
        <v>4.4178646691106467</v>
      </c>
      <c r="J21">
        <v>1</v>
      </c>
      <c r="K21">
        <v>33</v>
      </c>
      <c r="L21">
        <v>8</v>
      </c>
      <c r="M21">
        <v>3</v>
      </c>
      <c r="N21">
        <f t="shared" ref="N21:P36" si="4">K21/$J21/$I21</f>
        <v>7.4696719957796214</v>
      </c>
      <c r="O21">
        <f t="shared" si="4"/>
        <v>1.8108295747344536</v>
      </c>
      <c r="P21">
        <f t="shared" si="4"/>
        <v>0.67906109052542007</v>
      </c>
      <c r="Q21">
        <f t="shared" si="3"/>
        <v>74.696719957796219</v>
      </c>
      <c r="R21">
        <f t="shared" si="3"/>
        <v>18.108295747344535</v>
      </c>
      <c r="S21">
        <f t="shared" si="3"/>
        <v>6.7906109052542005</v>
      </c>
    </row>
    <row r="22" spans="1:19">
      <c r="A22" t="s">
        <v>80</v>
      </c>
      <c r="B22" s="26">
        <v>39015</v>
      </c>
      <c r="C22" s="9">
        <v>0.36388888888888887</v>
      </c>
      <c r="D22" s="40">
        <f t="shared" si="1"/>
        <v>298.36388888888888</v>
      </c>
      <c r="E22" s="1">
        <v>0</v>
      </c>
      <c r="F22" s="44">
        <v>10</v>
      </c>
      <c r="G22">
        <v>75</v>
      </c>
      <c r="H22">
        <v>571</v>
      </c>
      <c r="I22" s="15">
        <f t="shared" si="2"/>
        <v>4.4178646691106467</v>
      </c>
      <c r="J22">
        <v>1</v>
      </c>
      <c r="K22">
        <v>2</v>
      </c>
      <c r="L22">
        <v>0</v>
      </c>
      <c r="M22">
        <v>1</v>
      </c>
      <c r="N22">
        <f t="shared" si="4"/>
        <v>0.4527073936836134</v>
      </c>
      <c r="O22">
        <f t="shared" si="4"/>
        <v>0</v>
      </c>
      <c r="P22">
        <f t="shared" si="4"/>
        <v>0.2263536968418067</v>
      </c>
      <c r="Q22">
        <f t="shared" si="3"/>
        <v>4.5270739368361337</v>
      </c>
      <c r="R22">
        <f t="shared" si="3"/>
        <v>0</v>
      </c>
      <c r="S22">
        <f t="shared" si="3"/>
        <v>2.2635369684180668</v>
      </c>
    </row>
    <row r="23" spans="1:19">
      <c r="A23" s="27">
        <v>3</v>
      </c>
      <c r="B23" s="28">
        <v>39015</v>
      </c>
      <c r="C23" s="29">
        <v>0.58888888888888891</v>
      </c>
      <c r="D23" s="20">
        <f t="shared" si="1"/>
        <v>298.5888888888889</v>
      </c>
      <c r="E23" s="31">
        <v>80</v>
      </c>
      <c r="F23" s="31">
        <v>160</v>
      </c>
      <c r="G23" s="27">
        <v>60</v>
      </c>
      <c r="H23" s="27">
        <v>211</v>
      </c>
      <c r="I23" s="32">
        <f t="shared" si="2"/>
        <v>22.61946710584651</v>
      </c>
      <c r="J23" s="27">
        <v>1</v>
      </c>
      <c r="K23" s="27">
        <v>1004</v>
      </c>
      <c r="L23" s="27"/>
      <c r="M23" s="27">
        <v>1979</v>
      </c>
      <c r="N23">
        <f t="shared" si="4"/>
        <v>44.386545240073033</v>
      </c>
      <c r="P23">
        <f t="shared" si="4"/>
        <v>87.491008994128023</v>
      </c>
      <c r="Q23">
        <f t="shared" si="3"/>
        <v>3550.9236192058424</v>
      </c>
      <c r="S23">
        <f t="shared" si="3"/>
        <v>6999.2807195302421</v>
      </c>
    </row>
    <row r="24" spans="1:19">
      <c r="A24" s="2">
        <v>3</v>
      </c>
      <c r="B24" s="33">
        <v>39015</v>
      </c>
      <c r="C24" s="16">
        <v>0.59583333333333333</v>
      </c>
      <c r="D24" s="20">
        <f t="shared" si="1"/>
        <v>298.59583333333336</v>
      </c>
      <c r="E24" s="3">
        <v>40</v>
      </c>
      <c r="F24" s="3">
        <v>80</v>
      </c>
      <c r="G24" s="2">
        <v>60</v>
      </c>
      <c r="H24" s="2">
        <v>211</v>
      </c>
      <c r="I24" s="17">
        <f t="shared" si="2"/>
        <v>11.309733552923255</v>
      </c>
      <c r="J24" s="35">
        <v>1</v>
      </c>
      <c r="K24" s="35">
        <v>87</v>
      </c>
      <c r="L24" s="2"/>
      <c r="M24" s="35">
        <v>7</v>
      </c>
      <c r="N24">
        <f t="shared" si="4"/>
        <v>7.6924889161082746</v>
      </c>
      <c r="P24">
        <f t="shared" si="4"/>
        <v>0.61893588980181524</v>
      </c>
      <c r="Q24">
        <f t="shared" si="3"/>
        <v>307.69955664433098</v>
      </c>
      <c r="S24">
        <f t="shared" si="3"/>
        <v>24.757435592072611</v>
      </c>
    </row>
    <row r="25" spans="1:19">
      <c r="A25" s="2">
        <v>3</v>
      </c>
      <c r="B25" s="33">
        <v>39015</v>
      </c>
      <c r="C25" s="16">
        <v>0.6</v>
      </c>
      <c r="D25" s="20">
        <f t="shared" si="1"/>
        <v>298.60000000000002</v>
      </c>
      <c r="E25" s="3">
        <v>10</v>
      </c>
      <c r="F25" s="3">
        <v>40</v>
      </c>
      <c r="G25" s="2">
        <v>60</v>
      </c>
      <c r="H25" s="2">
        <v>211</v>
      </c>
      <c r="I25" s="17">
        <f t="shared" si="2"/>
        <v>8.4823001646924396</v>
      </c>
      <c r="J25" s="35">
        <v>1</v>
      </c>
      <c r="K25" s="35">
        <v>1</v>
      </c>
      <c r="L25" s="2"/>
      <c r="M25" s="35">
        <v>0</v>
      </c>
      <c r="N25">
        <f t="shared" si="4"/>
        <v>0.11789255043844102</v>
      </c>
      <c r="P25">
        <f t="shared" si="4"/>
        <v>0</v>
      </c>
      <c r="Q25">
        <f t="shared" si="3"/>
        <v>3.5367765131532307</v>
      </c>
      <c r="S25">
        <f t="shared" si="3"/>
        <v>0</v>
      </c>
    </row>
    <row r="26" spans="1:19">
      <c r="A26" s="2">
        <v>3</v>
      </c>
      <c r="B26" s="33">
        <v>39015</v>
      </c>
      <c r="C26" s="16">
        <v>0.6020833333333333</v>
      </c>
      <c r="D26" s="20">
        <f t="shared" si="1"/>
        <v>298.60208333333333</v>
      </c>
      <c r="E26" s="3">
        <v>0</v>
      </c>
      <c r="F26" s="36">
        <v>10</v>
      </c>
      <c r="G26" s="2">
        <v>60</v>
      </c>
      <c r="H26" s="2">
        <v>211</v>
      </c>
      <c r="I26" s="17">
        <f t="shared" si="2"/>
        <v>2.8274333882308138</v>
      </c>
      <c r="J26" s="35">
        <v>1</v>
      </c>
      <c r="K26" s="35">
        <v>0</v>
      </c>
      <c r="L26" s="2"/>
      <c r="M26" s="35">
        <v>0</v>
      </c>
      <c r="N26">
        <f t="shared" si="4"/>
        <v>0</v>
      </c>
      <c r="P26">
        <f t="shared" si="4"/>
        <v>0</v>
      </c>
      <c r="Q26">
        <f t="shared" si="3"/>
        <v>0</v>
      </c>
      <c r="S26">
        <f t="shared" si="3"/>
        <v>0</v>
      </c>
    </row>
    <row r="27" spans="1:19">
      <c r="A27" s="2">
        <v>4</v>
      </c>
      <c r="B27" s="33">
        <v>39015</v>
      </c>
      <c r="C27" s="16">
        <v>0.60902777777777783</v>
      </c>
      <c r="D27" s="20">
        <f t="shared" si="1"/>
        <v>298.60902777777778</v>
      </c>
      <c r="E27" s="3">
        <v>80</v>
      </c>
      <c r="F27" s="3">
        <v>160</v>
      </c>
      <c r="G27" s="2">
        <v>60</v>
      </c>
      <c r="H27" s="2">
        <v>211</v>
      </c>
      <c r="I27" s="17">
        <f t="shared" si="2"/>
        <v>22.61946710584651</v>
      </c>
      <c r="J27" s="35">
        <v>1</v>
      </c>
      <c r="K27" s="35">
        <v>931</v>
      </c>
      <c r="L27" s="2"/>
      <c r="M27" s="35">
        <v>2049</v>
      </c>
      <c r="N27">
        <f t="shared" si="4"/>
        <v>41.159236671820715</v>
      </c>
      <c r="P27">
        <f t="shared" si="4"/>
        <v>90.585688443137101</v>
      </c>
      <c r="Q27">
        <f t="shared" si="3"/>
        <v>3292.7389337456571</v>
      </c>
      <c r="S27">
        <f t="shared" si="3"/>
        <v>7246.8550754509679</v>
      </c>
    </row>
    <row r="28" spans="1:19">
      <c r="A28" s="2">
        <v>4</v>
      </c>
      <c r="B28" s="33">
        <v>39015</v>
      </c>
      <c r="C28" s="16">
        <v>0.61458333333333337</v>
      </c>
      <c r="D28" s="20">
        <f t="shared" si="1"/>
        <v>298.61458333333331</v>
      </c>
      <c r="E28" s="3">
        <v>40</v>
      </c>
      <c r="F28" s="3">
        <v>80</v>
      </c>
      <c r="G28" s="2">
        <v>60</v>
      </c>
      <c r="H28" s="2">
        <v>211</v>
      </c>
      <c r="I28" s="17">
        <f t="shared" si="2"/>
        <v>11.309733552923255</v>
      </c>
      <c r="J28" s="35">
        <v>1</v>
      </c>
      <c r="K28" s="35">
        <v>190</v>
      </c>
      <c r="L28" s="2"/>
      <c r="M28" s="35">
        <v>11</v>
      </c>
      <c r="N28">
        <f t="shared" si="4"/>
        <v>16.79968843747784</v>
      </c>
      <c r="P28">
        <f t="shared" si="4"/>
        <v>0.97261354111713816</v>
      </c>
      <c r="Q28">
        <f t="shared" si="3"/>
        <v>671.98753749911361</v>
      </c>
      <c r="S28">
        <f t="shared" si="3"/>
        <v>38.904541644685523</v>
      </c>
    </row>
    <row r="29" spans="1:19">
      <c r="A29" s="2">
        <v>4</v>
      </c>
      <c r="B29" s="33">
        <v>39015</v>
      </c>
      <c r="C29" s="16">
        <v>0.61805555555555558</v>
      </c>
      <c r="D29" s="20">
        <f t="shared" si="1"/>
        <v>298.61805555555554</v>
      </c>
      <c r="E29" s="3">
        <v>10</v>
      </c>
      <c r="F29" s="3">
        <v>40</v>
      </c>
      <c r="G29" s="2">
        <v>60</v>
      </c>
      <c r="H29" s="2">
        <v>211</v>
      </c>
      <c r="I29" s="17">
        <f t="shared" si="2"/>
        <v>8.4823001646924396</v>
      </c>
      <c r="J29" s="35">
        <v>1</v>
      </c>
      <c r="K29" s="35">
        <v>0</v>
      </c>
      <c r="L29" s="2"/>
      <c r="M29" s="35">
        <v>0</v>
      </c>
      <c r="N29">
        <f t="shared" si="4"/>
        <v>0</v>
      </c>
      <c r="P29">
        <f t="shared" si="4"/>
        <v>0</v>
      </c>
      <c r="Q29">
        <f t="shared" si="3"/>
        <v>0</v>
      </c>
      <c r="S29">
        <f t="shared" si="3"/>
        <v>0</v>
      </c>
    </row>
    <row r="30" spans="1:19">
      <c r="A30" s="37">
        <v>4</v>
      </c>
      <c r="B30" s="38">
        <v>39015</v>
      </c>
      <c r="C30" s="39">
        <v>0.62152777777777779</v>
      </c>
      <c r="D30" s="20">
        <f t="shared" si="1"/>
        <v>298.62152777777777</v>
      </c>
      <c r="E30" s="41">
        <v>0</v>
      </c>
      <c r="F30" s="42">
        <v>10</v>
      </c>
      <c r="G30" s="37">
        <v>60</v>
      </c>
      <c r="H30" s="37">
        <v>211</v>
      </c>
      <c r="I30" s="43">
        <f t="shared" si="2"/>
        <v>2.8274333882308138</v>
      </c>
      <c r="J30" s="37">
        <v>1</v>
      </c>
      <c r="K30" s="37">
        <v>0</v>
      </c>
      <c r="L30" s="37"/>
      <c r="M30" s="37">
        <v>0</v>
      </c>
      <c r="N30">
        <f t="shared" si="4"/>
        <v>0</v>
      </c>
      <c r="P30">
        <f t="shared" si="4"/>
        <v>0</v>
      </c>
      <c r="Q30">
        <f t="shared" si="3"/>
        <v>0</v>
      </c>
      <c r="S30">
        <f t="shared" si="3"/>
        <v>0</v>
      </c>
    </row>
    <row r="31" spans="1:19">
      <c r="A31" t="s">
        <v>80</v>
      </c>
      <c r="B31" s="26">
        <v>39015</v>
      </c>
      <c r="C31" s="9">
        <v>0.74444444444444446</v>
      </c>
      <c r="D31" s="30">
        <f t="shared" si="1"/>
        <v>298.74444444444447</v>
      </c>
      <c r="E31" s="1">
        <v>0</v>
      </c>
      <c r="F31" s="44">
        <v>10</v>
      </c>
      <c r="G31">
        <v>75</v>
      </c>
      <c r="H31">
        <v>571</v>
      </c>
      <c r="I31" s="15">
        <f t="shared" si="2"/>
        <v>4.4178646691106467</v>
      </c>
      <c r="J31">
        <v>1</v>
      </c>
      <c r="K31">
        <v>0</v>
      </c>
      <c r="L31">
        <v>0</v>
      </c>
      <c r="M31">
        <v>0</v>
      </c>
      <c r="N31">
        <f t="shared" si="4"/>
        <v>0</v>
      </c>
      <c r="O31">
        <f t="shared" si="4"/>
        <v>0</v>
      </c>
      <c r="P31">
        <f t="shared" si="4"/>
        <v>0</v>
      </c>
      <c r="Q31">
        <f t="shared" si="3"/>
        <v>0</v>
      </c>
      <c r="R31">
        <f t="shared" si="3"/>
        <v>0</v>
      </c>
      <c r="S31">
        <f t="shared" si="3"/>
        <v>0</v>
      </c>
    </row>
    <row r="32" spans="1:19">
      <c r="A32" t="s">
        <v>81</v>
      </c>
      <c r="B32" s="26">
        <v>39015</v>
      </c>
      <c r="C32" s="9">
        <v>0.77638888888888891</v>
      </c>
      <c r="D32" s="34">
        <f t="shared" si="1"/>
        <v>298.7763888888889</v>
      </c>
      <c r="E32" s="1">
        <v>0</v>
      </c>
      <c r="F32" s="44">
        <v>10</v>
      </c>
      <c r="G32">
        <v>75</v>
      </c>
      <c r="H32">
        <v>571</v>
      </c>
      <c r="I32" s="15">
        <f t="shared" si="2"/>
        <v>4.4178646691106467</v>
      </c>
      <c r="J32">
        <v>1</v>
      </c>
      <c r="K32">
        <v>34</v>
      </c>
      <c r="L32">
        <v>3</v>
      </c>
      <c r="M32">
        <v>0</v>
      </c>
      <c r="N32">
        <f t="shared" si="4"/>
        <v>7.6960256926214283</v>
      </c>
      <c r="O32">
        <f t="shared" si="4"/>
        <v>0.67906109052542007</v>
      </c>
      <c r="P32">
        <f t="shared" si="4"/>
        <v>0</v>
      </c>
      <c r="Q32">
        <f t="shared" si="3"/>
        <v>76.960256926214285</v>
      </c>
      <c r="R32">
        <f t="shared" si="3"/>
        <v>6.7906109052542005</v>
      </c>
      <c r="S32">
        <f t="shared" si="3"/>
        <v>0</v>
      </c>
    </row>
    <row r="33" spans="1:19">
      <c r="A33" t="s">
        <v>82</v>
      </c>
      <c r="B33" s="26">
        <v>39015</v>
      </c>
      <c r="C33" s="9">
        <v>0.81805555555555554</v>
      </c>
      <c r="D33" s="34">
        <f t="shared" si="1"/>
        <v>298.81805555555553</v>
      </c>
      <c r="E33" s="1">
        <v>0</v>
      </c>
      <c r="F33" s="44">
        <v>10</v>
      </c>
      <c r="G33">
        <v>75</v>
      </c>
      <c r="H33">
        <v>571</v>
      </c>
      <c r="I33" s="15">
        <f t="shared" si="2"/>
        <v>4.4178646691106467</v>
      </c>
      <c r="J33">
        <f>157/400</f>
        <v>0.39250000000000002</v>
      </c>
      <c r="K33">
        <v>107</v>
      </c>
      <c r="L33">
        <v>6</v>
      </c>
      <c r="M33">
        <v>113</v>
      </c>
      <c r="N33">
        <f t="shared" si="4"/>
        <v>61.706612897002081</v>
      </c>
      <c r="O33">
        <f t="shared" si="4"/>
        <v>3.4601839007664719</v>
      </c>
      <c r="P33">
        <f t="shared" si="4"/>
        <v>65.166796797768555</v>
      </c>
      <c r="Q33">
        <f t="shared" si="3"/>
        <v>617.06612897002083</v>
      </c>
      <c r="R33">
        <f t="shared" si="3"/>
        <v>34.601839007664722</v>
      </c>
      <c r="S33">
        <f t="shared" si="3"/>
        <v>651.66796797768552</v>
      </c>
    </row>
    <row r="34" spans="1:19">
      <c r="A34" t="s">
        <v>83</v>
      </c>
      <c r="B34" s="26">
        <v>39015</v>
      </c>
      <c r="C34" s="9">
        <v>0.85833333333333339</v>
      </c>
      <c r="D34" s="34">
        <f t="shared" si="1"/>
        <v>298.85833333333335</v>
      </c>
      <c r="E34" s="1">
        <v>0</v>
      </c>
      <c r="F34" s="44">
        <v>10</v>
      </c>
      <c r="G34">
        <v>75</v>
      </c>
      <c r="H34">
        <v>571</v>
      </c>
      <c r="I34" s="15">
        <f t="shared" si="2"/>
        <v>4.4178646691106467</v>
      </c>
      <c r="J34">
        <f>166/200</f>
        <v>0.83</v>
      </c>
      <c r="K34">
        <v>176</v>
      </c>
      <c r="L34">
        <v>8</v>
      </c>
      <c r="M34">
        <v>188</v>
      </c>
      <c r="N34">
        <f t="shared" si="4"/>
        <v>47.997892342359016</v>
      </c>
      <c r="O34">
        <f t="shared" si="4"/>
        <v>2.1817223791981371</v>
      </c>
      <c r="P34">
        <f t="shared" si="4"/>
        <v>51.270475911156218</v>
      </c>
      <c r="Q34">
        <f t="shared" si="3"/>
        <v>479.97892342359017</v>
      </c>
      <c r="R34">
        <f t="shared" si="3"/>
        <v>21.81722379198137</v>
      </c>
      <c r="S34">
        <f t="shared" si="3"/>
        <v>512.70475911156223</v>
      </c>
    </row>
    <row r="35" spans="1:19">
      <c r="A35" t="s">
        <v>84</v>
      </c>
      <c r="B35" s="26">
        <v>39015</v>
      </c>
      <c r="C35" s="9">
        <v>0.89722222222222225</v>
      </c>
      <c r="D35" s="40">
        <f t="shared" si="1"/>
        <v>298.89722222222224</v>
      </c>
      <c r="E35" s="1">
        <v>0</v>
      </c>
      <c r="F35" s="44">
        <v>10</v>
      </c>
      <c r="G35">
        <v>75</v>
      </c>
      <c r="H35">
        <v>571</v>
      </c>
      <c r="I35" s="15">
        <f t="shared" si="2"/>
        <v>4.4178646691106467</v>
      </c>
      <c r="J35">
        <f>156/200</f>
        <v>0.78</v>
      </c>
      <c r="K35">
        <v>172</v>
      </c>
      <c r="L35">
        <v>28</v>
      </c>
      <c r="M35">
        <v>113</v>
      </c>
      <c r="N35">
        <f t="shared" si="4"/>
        <v>49.913892124090708</v>
      </c>
      <c r="O35">
        <f t="shared" si="4"/>
        <v>8.1255173225263952</v>
      </c>
      <c r="P35">
        <f t="shared" si="4"/>
        <v>32.79226633733866</v>
      </c>
      <c r="Q35">
        <f t="shared" si="3"/>
        <v>499.13892124090705</v>
      </c>
      <c r="R35">
        <f t="shared" si="3"/>
        <v>81.255173225263945</v>
      </c>
      <c r="S35">
        <f t="shared" si="3"/>
        <v>327.92266337338663</v>
      </c>
    </row>
    <row r="36" spans="1:19">
      <c r="A36" s="27">
        <v>5</v>
      </c>
      <c r="B36" s="28">
        <v>39015</v>
      </c>
      <c r="C36" s="29">
        <v>0.95625000000000004</v>
      </c>
      <c r="D36" s="20">
        <f t="shared" si="1"/>
        <v>298.95625000000001</v>
      </c>
      <c r="E36" s="31">
        <v>80</v>
      </c>
      <c r="F36" s="31">
        <v>160</v>
      </c>
      <c r="G36" s="27">
        <v>60</v>
      </c>
      <c r="H36" s="27">
        <v>211</v>
      </c>
      <c r="I36" s="32">
        <f t="shared" si="2"/>
        <v>22.61946710584651</v>
      </c>
      <c r="J36" s="27">
        <v>1</v>
      </c>
      <c r="K36" s="27">
        <v>65</v>
      </c>
      <c r="L36" s="27"/>
      <c r="M36" s="27">
        <v>410</v>
      </c>
      <c r="N36">
        <f t="shared" si="4"/>
        <v>2.8736309169369991</v>
      </c>
      <c r="P36">
        <f t="shared" si="4"/>
        <v>18.125979629910304</v>
      </c>
      <c r="Q36">
        <f t="shared" si="3"/>
        <v>229.89047335495994</v>
      </c>
      <c r="S36">
        <f t="shared" si="3"/>
        <v>1450.0783703928244</v>
      </c>
    </row>
    <row r="37" spans="1:19">
      <c r="A37" s="2">
        <v>5</v>
      </c>
      <c r="B37" s="33">
        <v>39015</v>
      </c>
      <c r="C37" s="16">
        <v>0.96319444444444446</v>
      </c>
      <c r="D37" s="20">
        <f t="shared" si="1"/>
        <v>298.96319444444447</v>
      </c>
      <c r="E37" s="3">
        <v>40</v>
      </c>
      <c r="F37" s="3">
        <v>80</v>
      </c>
      <c r="G37" s="2">
        <v>60</v>
      </c>
      <c r="H37" s="2">
        <v>211</v>
      </c>
      <c r="I37" s="17">
        <f t="shared" si="2"/>
        <v>11.309733552923255</v>
      </c>
      <c r="J37" s="2">
        <v>1</v>
      </c>
      <c r="K37" s="35">
        <v>152</v>
      </c>
      <c r="L37" s="2"/>
      <c r="M37" s="35">
        <v>272</v>
      </c>
      <c r="N37">
        <f t="shared" ref="N37:P52" si="5">K37/$J37/$I37</f>
        <v>13.439750749982274</v>
      </c>
      <c r="P37">
        <f t="shared" si="5"/>
        <v>24.050080289441961</v>
      </c>
      <c r="Q37">
        <f t="shared" si="3"/>
        <v>537.59002999929089</v>
      </c>
      <c r="S37">
        <f t="shared" si="3"/>
        <v>962.00321157767848</v>
      </c>
    </row>
    <row r="38" spans="1:19">
      <c r="A38" s="2">
        <v>5</v>
      </c>
      <c r="B38" s="33">
        <v>39015</v>
      </c>
      <c r="C38" s="16">
        <v>0.96736111111111101</v>
      </c>
      <c r="D38" s="20">
        <f t="shared" si="1"/>
        <v>298.96736111111113</v>
      </c>
      <c r="E38" s="3">
        <v>10</v>
      </c>
      <c r="F38" s="3">
        <v>40</v>
      </c>
      <c r="G38" s="2">
        <v>60</v>
      </c>
      <c r="H38" s="2">
        <v>211</v>
      </c>
      <c r="I38" s="17">
        <f t="shared" si="2"/>
        <v>8.4823001646924396</v>
      </c>
      <c r="J38" s="2">
        <f>123/400</f>
        <v>0.3075</v>
      </c>
      <c r="K38" s="35">
        <v>316</v>
      </c>
      <c r="L38" s="35">
        <v>57</v>
      </c>
      <c r="M38" s="35">
        <v>151</v>
      </c>
      <c r="N38">
        <f t="shared" si="5"/>
        <v>121.15136890584509</v>
      </c>
      <c r="O38">
        <f>L38/$J38/$I38</f>
        <v>21.853253252003704</v>
      </c>
      <c r="P38">
        <f t="shared" si="5"/>
        <v>57.891951597413311</v>
      </c>
      <c r="Q38">
        <f t="shared" si="3"/>
        <v>3634.5410671753525</v>
      </c>
      <c r="R38">
        <f t="shared" si="3"/>
        <v>655.59759756011113</v>
      </c>
      <c r="S38">
        <f t="shared" si="3"/>
        <v>1736.7585479223994</v>
      </c>
    </row>
    <row r="39" spans="1:19">
      <c r="A39" s="2">
        <v>5</v>
      </c>
      <c r="B39" s="33">
        <v>39015</v>
      </c>
      <c r="C39" s="16">
        <v>0.97083333333333333</v>
      </c>
      <c r="D39" s="20">
        <f t="shared" si="1"/>
        <v>298.97083333333336</v>
      </c>
      <c r="E39" s="3">
        <v>0</v>
      </c>
      <c r="F39" s="36">
        <v>10</v>
      </c>
      <c r="G39" s="2">
        <v>60</v>
      </c>
      <c r="H39" s="2">
        <v>211</v>
      </c>
      <c r="I39" s="17">
        <f t="shared" si="2"/>
        <v>2.8274333882308138</v>
      </c>
      <c r="J39" s="2">
        <f>162/450</f>
        <v>0.36</v>
      </c>
      <c r="K39" s="35">
        <v>21</v>
      </c>
      <c r="L39" s="35">
        <v>4</v>
      </c>
      <c r="M39" s="35">
        <v>11</v>
      </c>
      <c r="N39">
        <f t="shared" si="5"/>
        <v>20.631196326727174</v>
      </c>
      <c r="O39">
        <f>L39/$J39/$I39</f>
        <v>3.9297516812813664</v>
      </c>
      <c r="P39">
        <f t="shared" si="5"/>
        <v>10.806817123523759</v>
      </c>
      <c r="Q39">
        <f t="shared" si="3"/>
        <v>206.31196326727175</v>
      </c>
      <c r="R39">
        <f t="shared" si="3"/>
        <v>39.297516812813662</v>
      </c>
      <c r="S39">
        <f t="shared" si="3"/>
        <v>108.06817123523759</v>
      </c>
    </row>
    <row r="40" spans="1:19">
      <c r="A40" s="2">
        <v>6</v>
      </c>
      <c r="B40" s="33">
        <v>39015</v>
      </c>
      <c r="C40" s="16">
        <v>0.9770833333333333</v>
      </c>
      <c r="D40" s="20">
        <f t="shared" si="1"/>
        <v>298.97708333333333</v>
      </c>
      <c r="E40" s="3">
        <v>80</v>
      </c>
      <c r="F40" s="3">
        <v>160</v>
      </c>
      <c r="G40" s="2">
        <v>60</v>
      </c>
      <c r="H40" s="2">
        <v>211</v>
      </c>
      <c r="I40" s="17">
        <f t="shared" si="2"/>
        <v>22.61946710584651</v>
      </c>
      <c r="J40" s="2">
        <v>1</v>
      </c>
      <c r="K40" s="35">
        <v>68</v>
      </c>
      <c r="L40" s="2"/>
      <c r="M40" s="35">
        <v>614</v>
      </c>
      <c r="N40">
        <f t="shared" si="5"/>
        <v>3.0062600361802452</v>
      </c>
      <c r="P40">
        <f t="shared" si="5"/>
        <v>27.14475973845104</v>
      </c>
      <c r="Q40">
        <f t="shared" si="3"/>
        <v>240.50080289441962</v>
      </c>
      <c r="S40">
        <f t="shared" si="3"/>
        <v>2171.5807790760832</v>
      </c>
    </row>
    <row r="41" spans="1:19">
      <c r="A41" s="2">
        <v>6</v>
      </c>
      <c r="B41" s="33">
        <v>39015</v>
      </c>
      <c r="C41" s="16">
        <v>0.98333333333333339</v>
      </c>
      <c r="D41" s="20">
        <f t="shared" si="1"/>
        <v>298.98333333333335</v>
      </c>
      <c r="E41" s="3">
        <v>40</v>
      </c>
      <c r="F41" s="3">
        <v>80</v>
      </c>
      <c r="G41" s="2">
        <v>60</v>
      </c>
      <c r="H41" s="2">
        <v>211</v>
      </c>
      <c r="I41" s="17">
        <f t="shared" si="2"/>
        <v>11.309733552923255</v>
      </c>
      <c r="J41" s="35">
        <v>1</v>
      </c>
      <c r="K41" s="35">
        <v>874</v>
      </c>
      <c r="L41" s="2"/>
      <c r="M41" s="35">
        <v>423</v>
      </c>
      <c r="N41">
        <f t="shared" si="5"/>
        <v>77.278566812398068</v>
      </c>
      <c r="P41">
        <f t="shared" si="5"/>
        <v>37.401411626595404</v>
      </c>
      <c r="Q41">
        <f t="shared" si="3"/>
        <v>3091.1426724959229</v>
      </c>
      <c r="S41">
        <f t="shared" si="3"/>
        <v>1496.0564650638162</v>
      </c>
    </row>
    <row r="42" spans="1:19">
      <c r="A42" s="2">
        <v>6</v>
      </c>
      <c r="B42" s="33">
        <v>39015</v>
      </c>
      <c r="C42" s="16">
        <v>0.9868055555555556</v>
      </c>
      <c r="D42" s="20">
        <f t="shared" si="1"/>
        <v>298.98680555555558</v>
      </c>
      <c r="E42" s="3">
        <v>10</v>
      </c>
      <c r="F42" s="3">
        <v>40</v>
      </c>
      <c r="G42" s="2">
        <v>60</v>
      </c>
      <c r="H42" s="2">
        <v>211</v>
      </c>
      <c r="I42" s="17">
        <f t="shared" si="2"/>
        <v>8.4823001646924396</v>
      </c>
      <c r="J42" s="2">
        <f>121/450</f>
        <v>0.2688888888888889</v>
      </c>
      <c r="K42" s="35">
        <v>435</v>
      </c>
      <c r="L42" s="35">
        <v>64</v>
      </c>
      <c r="M42" s="35">
        <v>99</v>
      </c>
      <c r="N42">
        <f t="shared" si="5"/>
        <v>190.72286568863495</v>
      </c>
      <c r="O42">
        <f>L42/$J42/$I42</f>
        <v>28.060375641546294</v>
      </c>
      <c r="P42">
        <f t="shared" si="5"/>
        <v>43.405893570516923</v>
      </c>
      <c r="Q42">
        <f t="shared" si="3"/>
        <v>5721.6859706590485</v>
      </c>
      <c r="R42">
        <f t="shared" si="3"/>
        <v>841.81126924638886</v>
      </c>
      <c r="S42">
        <f t="shared" si="3"/>
        <v>1302.1768071155077</v>
      </c>
    </row>
    <row r="43" spans="1:19">
      <c r="A43" s="2">
        <v>6</v>
      </c>
      <c r="B43" s="33">
        <v>39015</v>
      </c>
      <c r="C43" s="16">
        <v>0.98888888888888893</v>
      </c>
      <c r="D43" s="20">
        <f t="shared" si="1"/>
        <v>298.98888888888888</v>
      </c>
      <c r="E43" s="3">
        <v>0</v>
      </c>
      <c r="F43" s="36">
        <v>10</v>
      </c>
      <c r="G43" s="2">
        <v>60</v>
      </c>
      <c r="H43" s="2">
        <v>211</v>
      </c>
      <c r="I43" s="17">
        <f t="shared" si="2"/>
        <v>2.8274333882308138</v>
      </c>
      <c r="J43" s="2">
        <f>163/450</f>
        <v>0.36222222222222222</v>
      </c>
      <c r="K43" s="35">
        <v>17</v>
      </c>
      <c r="L43" s="35">
        <v>2</v>
      </c>
      <c r="M43" s="35">
        <v>11</v>
      </c>
      <c r="N43">
        <f t="shared" si="5"/>
        <v>16.598981794860251</v>
      </c>
      <c r="O43">
        <f>L43/$J43/$I43</f>
        <v>1.9528213876306177</v>
      </c>
      <c r="P43">
        <f t="shared" si="5"/>
        <v>10.740517631968396</v>
      </c>
      <c r="Q43">
        <f t="shared" si="3"/>
        <v>165.98981794860251</v>
      </c>
      <c r="R43">
        <f t="shared" si="3"/>
        <v>19.528213876306179</v>
      </c>
      <c r="S43">
        <f t="shared" si="3"/>
        <v>107.40517631968396</v>
      </c>
    </row>
    <row r="44" spans="1:19">
      <c r="A44" s="2">
        <v>7</v>
      </c>
      <c r="B44" s="33">
        <v>39016</v>
      </c>
      <c r="C44" s="16">
        <v>0.59236111111111112</v>
      </c>
      <c r="D44" s="20">
        <f t="shared" si="1"/>
        <v>299.59236111111113</v>
      </c>
      <c r="E44" s="3">
        <v>80</v>
      </c>
      <c r="F44" s="3">
        <v>160</v>
      </c>
      <c r="G44" s="2">
        <v>60</v>
      </c>
      <c r="H44" s="2">
        <v>211</v>
      </c>
      <c r="I44" s="17">
        <f t="shared" si="2"/>
        <v>22.61946710584651</v>
      </c>
      <c r="J44" s="2">
        <v>1</v>
      </c>
      <c r="K44" s="35">
        <v>309</v>
      </c>
      <c r="L44" s="2"/>
      <c r="M44" s="35">
        <v>1481</v>
      </c>
      <c r="N44">
        <f t="shared" si="5"/>
        <v>13.66079928205435</v>
      </c>
      <c r="P44">
        <f t="shared" si="5"/>
        <v>65.474575199749168</v>
      </c>
      <c r="Q44">
        <f t="shared" si="3"/>
        <v>1092.863942564348</v>
      </c>
      <c r="S44">
        <f t="shared" si="3"/>
        <v>5237.9660159799332</v>
      </c>
    </row>
    <row r="45" spans="1:19">
      <c r="A45" s="2">
        <v>7</v>
      </c>
      <c r="B45" s="33">
        <v>39016</v>
      </c>
      <c r="C45" s="16">
        <v>0.59791666666666665</v>
      </c>
      <c r="D45" s="20">
        <f t="shared" si="1"/>
        <v>299.59791666666666</v>
      </c>
      <c r="E45" s="3">
        <v>40</v>
      </c>
      <c r="F45" s="3">
        <v>80</v>
      </c>
      <c r="G45" s="2">
        <v>60</v>
      </c>
      <c r="H45" s="2">
        <v>211</v>
      </c>
      <c r="I45" s="17">
        <f t="shared" si="2"/>
        <v>11.309733552923255</v>
      </c>
      <c r="J45" s="2">
        <v>1</v>
      </c>
      <c r="K45" s="35">
        <v>61</v>
      </c>
      <c r="L45" s="2"/>
      <c r="M45" s="35">
        <v>3</v>
      </c>
      <c r="N45">
        <f t="shared" si="5"/>
        <v>5.3935841825586754</v>
      </c>
      <c r="P45">
        <f t="shared" si="5"/>
        <v>0.26525823848649221</v>
      </c>
      <c r="Q45">
        <f t="shared" si="3"/>
        <v>215.74336730234702</v>
      </c>
      <c r="S45">
        <f t="shared" si="3"/>
        <v>10.610329539459688</v>
      </c>
    </row>
    <row r="46" spans="1:19">
      <c r="A46" s="2">
        <v>7</v>
      </c>
      <c r="B46" s="33">
        <v>39016</v>
      </c>
      <c r="C46" s="16">
        <v>0.6020833333333333</v>
      </c>
      <c r="D46" s="20">
        <f t="shared" si="1"/>
        <v>299.60208333333333</v>
      </c>
      <c r="E46" s="3">
        <v>10</v>
      </c>
      <c r="F46" s="3">
        <v>40</v>
      </c>
      <c r="G46" s="2">
        <v>60</v>
      </c>
      <c r="H46" s="2">
        <v>211</v>
      </c>
      <c r="I46" s="17">
        <f t="shared" si="2"/>
        <v>8.4823001646924396</v>
      </c>
      <c r="J46" s="2">
        <v>1</v>
      </c>
      <c r="K46" s="35">
        <v>6</v>
      </c>
      <c r="L46" s="2"/>
      <c r="M46" s="35">
        <v>2</v>
      </c>
      <c r="N46">
        <f t="shared" si="5"/>
        <v>0.70735530263064617</v>
      </c>
      <c r="P46">
        <f t="shared" si="5"/>
        <v>0.23578510087688204</v>
      </c>
      <c r="Q46">
        <f t="shared" si="3"/>
        <v>21.220659078919386</v>
      </c>
      <c r="S46">
        <f t="shared" si="3"/>
        <v>7.0735530263064614</v>
      </c>
    </row>
    <row r="47" spans="1:19">
      <c r="A47" s="2">
        <v>7</v>
      </c>
      <c r="B47" s="33">
        <v>39016</v>
      </c>
      <c r="C47" s="16">
        <v>0.60416666666666663</v>
      </c>
      <c r="D47" s="20">
        <f t="shared" si="1"/>
        <v>299.60416666666669</v>
      </c>
      <c r="E47" s="3">
        <v>0</v>
      </c>
      <c r="F47" s="36">
        <v>10</v>
      </c>
      <c r="G47" s="2">
        <v>60</v>
      </c>
      <c r="H47" s="2">
        <v>211</v>
      </c>
      <c r="I47" s="17">
        <f t="shared" si="2"/>
        <v>2.8274333882308138</v>
      </c>
      <c r="J47" s="2">
        <v>1</v>
      </c>
      <c r="K47" s="35">
        <v>0</v>
      </c>
      <c r="L47" s="2"/>
      <c r="M47" s="35">
        <v>0</v>
      </c>
      <c r="N47">
        <f t="shared" si="5"/>
        <v>0</v>
      </c>
      <c r="P47">
        <f t="shared" si="5"/>
        <v>0</v>
      </c>
      <c r="Q47">
        <f t="shared" si="3"/>
        <v>0</v>
      </c>
      <c r="S47">
        <f t="shared" si="3"/>
        <v>0</v>
      </c>
    </row>
    <row r="48" spans="1:19">
      <c r="A48" s="2">
        <v>8</v>
      </c>
      <c r="B48" s="33">
        <v>39016</v>
      </c>
      <c r="C48" s="16">
        <v>0.6118055555555556</v>
      </c>
      <c r="D48" s="20">
        <f t="shared" si="1"/>
        <v>299.61180555555558</v>
      </c>
      <c r="E48" s="3">
        <v>80</v>
      </c>
      <c r="F48" s="3">
        <v>160</v>
      </c>
      <c r="G48" s="2">
        <v>60</v>
      </c>
      <c r="H48" s="2">
        <v>211</v>
      </c>
      <c r="I48" s="17">
        <f t="shared" si="2"/>
        <v>22.61946710584651</v>
      </c>
      <c r="J48" s="2">
        <v>1</v>
      </c>
      <c r="K48" s="35">
        <v>284</v>
      </c>
      <c r="L48" s="2"/>
      <c r="M48" s="35">
        <v>2045</v>
      </c>
      <c r="N48">
        <f t="shared" si="5"/>
        <v>12.555556621693967</v>
      </c>
      <c r="P48">
        <f t="shared" si="5"/>
        <v>90.408849617479433</v>
      </c>
      <c r="Q48">
        <f t="shared" si="3"/>
        <v>1004.4445297355173</v>
      </c>
      <c r="S48">
        <f t="shared" si="3"/>
        <v>7232.7079693983542</v>
      </c>
    </row>
    <row r="49" spans="1:20">
      <c r="A49" s="2">
        <v>8</v>
      </c>
      <c r="B49" s="33">
        <v>39016</v>
      </c>
      <c r="C49" s="16">
        <v>0.61805555555555558</v>
      </c>
      <c r="D49" s="20">
        <f t="shared" si="1"/>
        <v>299.61805555555554</v>
      </c>
      <c r="E49" s="3">
        <v>40</v>
      </c>
      <c r="F49" s="3">
        <v>80</v>
      </c>
      <c r="G49" s="2">
        <v>60</v>
      </c>
      <c r="H49" s="2">
        <v>211</v>
      </c>
      <c r="I49" s="17">
        <f t="shared" si="2"/>
        <v>11.309733552923255</v>
      </c>
      <c r="J49" s="2"/>
      <c r="K49" s="35"/>
      <c r="L49" s="2"/>
      <c r="M49" s="2"/>
      <c r="T49" t="s">
        <v>85</v>
      </c>
    </row>
    <row r="50" spans="1:20">
      <c r="A50" s="2">
        <v>8</v>
      </c>
      <c r="B50" s="33">
        <v>39016</v>
      </c>
      <c r="C50" s="16">
        <v>0.62152777777777779</v>
      </c>
      <c r="D50" s="20">
        <f t="shared" si="1"/>
        <v>299.62152777777777</v>
      </c>
      <c r="E50" s="3">
        <v>10</v>
      </c>
      <c r="F50" s="3">
        <v>40</v>
      </c>
      <c r="G50" s="2">
        <v>60</v>
      </c>
      <c r="H50" s="2">
        <v>211</v>
      </c>
      <c r="I50" s="17">
        <f t="shared" si="2"/>
        <v>8.4823001646924396</v>
      </c>
      <c r="J50" s="2">
        <v>1</v>
      </c>
      <c r="K50" s="35">
        <v>1</v>
      </c>
      <c r="L50" s="2"/>
      <c r="M50" s="35">
        <v>346</v>
      </c>
      <c r="N50">
        <f t="shared" si="5"/>
        <v>0.11789255043844102</v>
      </c>
      <c r="P50">
        <f t="shared" si="5"/>
        <v>40.790822451700592</v>
      </c>
      <c r="Q50">
        <f t="shared" si="3"/>
        <v>3.5367765131532307</v>
      </c>
      <c r="S50">
        <f t="shared" si="3"/>
        <v>1223.7246735510178</v>
      </c>
    </row>
    <row r="51" spans="1:20">
      <c r="A51" s="2">
        <v>8</v>
      </c>
      <c r="B51" s="33">
        <v>39016</v>
      </c>
      <c r="C51" s="16">
        <v>0.62638888888888888</v>
      </c>
      <c r="D51" s="20">
        <f t="shared" si="1"/>
        <v>299.62638888888887</v>
      </c>
      <c r="E51" s="3">
        <v>40</v>
      </c>
      <c r="F51" s="3">
        <v>80</v>
      </c>
      <c r="G51" s="2">
        <v>60</v>
      </c>
      <c r="H51" s="2">
        <v>211</v>
      </c>
      <c r="I51" s="17">
        <f t="shared" si="2"/>
        <v>11.309733552923255</v>
      </c>
      <c r="J51" s="2">
        <v>1</v>
      </c>
      <c r="K51" s="35">
        <v>52</v>
      </c>
      <c r="L51" s="2"/>
      <c r="M51" s="35">
        <v>423</v>
      </c>
      <c r="N51">
        <f t="shared" si="5"/>
        <v>4.5978094670991991</v>
      </c>
      <c r="P51">
        <f t="shared" si="5"/>
        <v>37.401411626595404</v>
      </c>
      <c r="Q51">
        <f t="shared" si="3"/>
        <v>183.91237868396797</v>
      </c>
      <c r="S51">
        <f t="shared" si="3"/>
        <v>1496.0564650638162</v>
      </c>
      <c r="T51" t="s">
        <v>86</v>
      </c>
    </row>
    <row r="52" spans="1:20">
      <c r="A52" s="37">
        <v>8</v>
      </c>
      <c r="B52" s="38">
        <v>39016</v>
      </c>
      <c r="C52" s="39">
        <v>0.62916666666666665</v>
      </c>
      <c r="D52" s="20">
        <f t="shared" si="1"/>
        <v>299.62916666666666</v>
      </c>
      <c r="E52" s="41">
        <v>0</v>
      </c>
      <c r="F52" s="42">
        <v>10</v>
      </c>
      <c r="G52" s="37">
        <v>60</v>
      </c>
      <c r="H52" s="37">
        <v>211</v>
      </c>
      <c r="I52" s="43">
        <f t="shared" si="2"/>
        <v>2.8274333882308138</v>
      </c>
      <c r="J52" s="37">
        <v>1</v>
      </c>
      <c r="K52" s="37">
        <v>0</v>
      </c>
      <c r="L52" s="37"/>
      <c r="M52" s="37">
        <v>30</v>
      </c>
      <c r="N52">
        <f t="shared" si="5"/>
        <v>0</v>
      </c>
      <c r="P52">
        <f t="shared" si="5"/>
        <v>10.610329539459689</v>
      </c>
      <c r="Q52">
        <f t="shared" si="3"/>
        <v>0</v>
      </c>
      <c r="S52">
        <f t="shared" si="3"/>
        <v>106.1032953945969</v>
      </c>
    </row>
    <row r="55" spans="1:20">
      <c r="O55" t="s">
        <v>87</v>
      </c>
      <c r="P55" t="s">
        <v>88</v>
      </c>
      <c r="Q55" t="s">
        <v>89</v>
      </c>
      <c r="S55" t="s">
        <v>90</v>
      </c>
    </row>
    <row r="56" spans="1:20">
      <c r="O56" t="s">
        <v>91</v>
      </c>
      <c r="P56">
        <v>1</v>
      </c>
      <c r="Q56" s="1">
        <f>SUM(Q11:Q14)</f>
        <v>4642.5832146915882</v>
      </c>
      <c r="R56" s="1"/>
      <c r="S56" s="1">
        <f>SUM(S11:S14)</f>
        <v>6543.0651486044717</v>
      </c>
    </row>
    <row r="57" spans="1:20">
      <c r="O57" t="s">
        <v>91</v>
      </c>
      <c r="P57">
        <v>2</v>
      </c>
      <c r="Q57" s="1">
        <f>SUM(Q15:Q18)</f>
        <v>5301.6089270360289</v>
      </c>
      <c r="R57" s="1"/>
      <c r="S57" s="1">
        <f>SUM(S15:S18)</f>
        <v>8415.9729641340145</v>
      </c>
    </row>
    <row r="58" spans="1:20">
      <c r="O58" t="s">
        <v>92</v>
      </c>
      <c r="P58">
        <v>3</v>
      </c>
      <c r="Q58" s="1">
        <f>SUM(Q23:Q26)</f>
        <v>3862.1599523633267</v>
      </c>
      <c r="R58" s="1"/>
      <c r="S58" s="1">
        <f>SUM(S23:S26)</f>
        <v>7024.0381551223145</v>
      </c>
    </row>
    <row r="59" spans="1:20">
      <c r="O59" t="s">
        <v>92</v>
      </c>
      <c r="P59">
        <v>4</v>
      </c>
      <c r="Q59" s="1">
        <f>SUM(Q27:Q30)</f>
        <v>3964.7264712447704</v>
      </c>
      <c r="R59" s="1"/>
      <c r="S59" s="1">
        <f>SUM(S27:S30)</f>
        <v>7285.7596170956531</v>
      </c>
    </row>
    <row r="60" spans="1:20">
      <c r="O60" t="s">
        <v>91</v>
      </c>
      <c r="P60">
        <v>5</v>
      </c>
      <c r="Q60" s="1">
        <f>SUM(Q36:Q39)</f>
        <v>4608.3335337968747</v>
      </c>
      <c r="R60" s="1"/>
      <c r="S60" s="1">
        <f>SUM(S36:S39)</f>
        <v>4256.90830112814</v>
      </c>
    </row>
    <row r="61" spans="1:20">
      <c r="O61" t="s">
        <v>91</v>
      </c>
      <c r="P61">
        <v>6</v>
      </c>
      <c r="Q61" s="1">
        <f>SUM(Q40:Q43)</f>
        <v>9219.3192639979934</v>
      </c>
      <c r="R61" s="1"/>
      <c r="S61" s="1">
        <f>SUM(S40:S43)</f>
        <v>5077.2192275750913</v>
      </c>
    </row>
    <row r="62" spans="1:20">
      <c r="O62" t="s">
        <v>92</v>
      </c>
      <c r="P62">
        <v>7</v>
      </c>
      <c r="Q62" s="1">
        <f>SUM(Q44:Q47)</f>
        <v>1329.8279689456144</v>
      </c>
      <c r="R62" s="1"/>
      <c r="S62" s="1">
        <f>SUM(S44:S47)</f>
        <v>5255.6498985456992</v>
      </c>
    </row>
    <row r="63" spans="1:20">
      <c r="O63" t="s">
        <v>92</v>
      </c>
      <c r="P63">
        <v>8</v>
      </c>
      <c r="Q63" s="1">
        <f>SUM(Q48:Q52)</f>
        <v>1191.8936849326385</v>
      </c>
      <c r="R63" s="1"/>
      <c r="S63" s="1">
        <f>SUM(S48:S52)</f>
        <v>10058.592403407787</v>
      </c>
    </row>
    <row r="64" spans="1:20">
      <c r="Q64" s="1"/>
      <c r="R64" s="1"/>
      <c r="S64" s="1"/>
    </row>
    <row r="65" spans="15:19">
      <c r="O65" t="s">
        <v>93</v>
      </c>
      <c r="P65" t="s">
        <v>94</v>
      </c>
      <c r="Q65" s="1">
        <f>AVERAGE(Q56:Q63)</f>
        <v>4265.056627126105</v>
      </c>
      <c r="R65" s="1"/>
      <c r="S65" s="1">
        <f>AVERAGE(S56:S63)</f>
        <v>6739.6507144516472</v>
      </c>
    </row>
    <row r="66" spans="15:19">
      <c r="P66" t="s">
        <v>95</v>
      </c>
      <c r="Q66" s="1">
        <f>STDEV(Q56:Q63)</f>
        <v>2512.5952997609988</v>
      </c>
      <c r="R66" s="1"/>
      <c r="S66" s="1">
        <f>STDEV(S56:S63)</f>
        <v>1903.8732706628909</v>
      </c>
    </row>
    <row r="67" spans="15:19">
      <c r="Q67" s="1"/>
      <c r="R67" s="1"/>
      <c r="S67" s="1"/>
    </row>
    <row r="68" spans="15:19">
      <c r="O68" t="s">
        <v>96</v>
      </c>
      <c r="P68" t="s">
        <v>94</v>
      </c>
      <c r="Q68" s="1">
        <f>AVERAGE(Q56:Q57,Q60:Q61)</f>
        <v>5942.9612348806213</v>
      </c>
      <c r="R68" s="1"/>
      <c r="S68" s="1">
        <f>AVERAGE(S56:S57,S60:S61)</f>
        <v>6073.2914103604289</v>
      </c>
    </row>
    <row r="69" spans="15:19">
      <c r="P69" t="s">
        <v>95</v>
      </c>
      <c r="Q69" s="1">
        <f>STDEV(Q56:Q57,Q60:Q61)</f>
        <v>2207.4169530343443</v>
      </c>
      <c r="R69" s="1"/>
      <c r="S69" s="1">
        <f>STDEV(S56:S57,S60:S61)</f>
        <v>1825.7648278970589</v>
      </c>
    </row>
    <row r="70" spans="15:19">
      <c r="O70" t="s">
        <v>97</v>
      </c>
      <c r="P70" t="s">
        <v>94</v>
      </c>
      <c r="Q70" s="1">
        <f>AVERAGE(Q58:Q59,Q62:Q63)</f>
        <v>2587.1520193715874</v>
      </c>
      <c r="R70" s="1"/>
      <c r="S70" s="1">
        <f>AVERAGE(S58:S59,S62:S63)</f>
        <v>7406.0100185428637</v>
      </c>
    </row>
    <row r="71" spans="15:19">
      <c r="P71" t="s">
        <v>95</v>
      </c>
      <c r="Q71" s="1">
        <f>STDEV(Q58:Q59,Q62:Q63)</f>
        <v>1533.0760132542346</v>
      </c>
      <c r="R71" s="1"/>
      <c r="S71" s="1">
        <f>STDEV(S58:S59,S62:S63)</f>
        <v>1984.9940904750872</v>
      </c>
    </row>
  </sheetData>
  <mergeCells count="2">
    <mergeCell ref="N3:P3"/>
    <mergeCell ref="Q3:S3"/>
  </mergeCells>
  <phoneticPr fontId="6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V59"/>
  <sheetViews>
    <sheetView workbookViewId="0">
      <selection activeCell="I3" sqref="I3:N4"/>
    </sheetView>
  </sheetViews>
  <sheetFormatPr defaultColWidth="8.85546875" defaultRowHeight="12.75"/>
  <sheetData>
    <row r="1" spans="1:17">
      <c r="A1" s="45" t="s">
        <v>60</v>
      </c>
      <c r="D1" s="1"/>
      <c r="E1" s="1"/>
      <c r="H1" s="15"/>
      <c r="K1" s="46"/>
      <c r="L1" s="46"/>
      <c r="M1" s="46"/>
      <c r="N1" s="46"/>
    </row>
    <row r="2" spans="1:17">
      <c r="A2" s="19" t="s">
        <v>137</v>
      </c>
      <c r="D2" s="1"/>
      <c r="E2" s="1"/>
      <c r="H2" s="15"/>
      <c r="K2" s="46"/>
      <c r="L2" s="46"/>
      <c r="M2" s="46"/>
      <c r="N2" s="46"/>
    </row>
    <row r="3" spans="1:17">
      <c r="D3" s="1"/>
      <c r="E3" s="1"/>
      <c r="H3" s="15"/>
      <c r="I3" s="76" t="s">
        <v>13</v>
      </c>
      <c r="J3" s="76"/>
      <c r="K3" s="77" t="s">
        <v>14</v>
      </c>
      <c r="L3" s="77"/>
      <c r="M3" s="77" t="s">
        <v>15</v>
      </c>
      <c r="N3" s="77"/>
    </row>
    <row r="4" spans="1:17" ht="39" thickBot="1">
      <c r="A4" s="47" t="s">
        <v>64</v>
      </c>
      <c r="B4" s="47" t="s">
        <v>65</v>
      </c>
      <c r="C4" s="47" t="s">
        <v>49</v>
      </c>
      <c r="D4" s="48" t="s">
        <v>66</v>
      </c>
      <c r="E4" s="48" t="s">
        <v>67</v>
      </c>
      <c r="F4" s="47" t="s">
        <v>68</v>
      </c>
      <c r="G4" s="47" t="s">
        <v>69</v>
      </c>
      <c r="H4" s="49" t="s">
        <v>70</v>
      </c>
      <c r="I4" s="25" t="s">
        <v>16</v>
      </c>
      <c r="J4" s="25" t="s">
        <v>17</v>
      </c>
      <c r="K4" s="25" t="s">
        <v>16</v>
      </c>
      <c r="L4" s="25" t="s">
        <v>17</v>
      </c>
      <c r="M4" s="25" t="s">
        <v>16</v>
      </c>
      <c r="N4" s="25" t="s">
        <v>17</v>
      </c>
    </row>
    <row r="5" spans="1:17">
      <c r="A5" t="s">
        <v>114</v>
      </c>
      <c r="B5" s="26">
        <v>39202</v>
      </c>
      <c r="C5" s="9">
        <v>0.85972222222222217</v>
      </c>
      <c r="D5">
        <v>12</v>
      </c>
      <c r="E5">
        <v>40</v>
      </c>
      <c r="F5">
        <v>60</v>
      </c>
      <c r="G5">
        <v>211</v>
      </c>
      <c r="H5" s="15">
        <f>(E5-D5)*PI()*((F5/100)/2)^2</f>
        <v>7.9168134870462783</v>
      </c>
      <c r="I5" s="54">
        <v>225</v>
      </c>
      <c r="J5" s="54">
        <v>46</v>
      </c>
      <c r="K5" s="46">
        <f>I5/H5</f>
        <v>28.420525552124168</v>
      </c>
      <c r="L5" s="46">
        <f>J5/H5</f>
        <v>5.8104185573231639</v>
      </c>
      <c r="M5" s="46">
        <f>I5/H5*(E5-D5)</f>
        <v>795.77471545947674</v>
      </c>
      <c r="N5" s="46">
        <f>J5/H5*(E5-D5)</f>
        <v>162.6917196050486</v>
      </c>
      <c r="P5" s="54"/>
      <c r="Q5" s="54"/>
    </row>
    <row r="6" spans="1:17">
      <c r="A6" t="s">
        <v>114</v>
      </c>
      <c r="B6" s="26">
        <v>39202</v>
      </c>
      <c r="C6" s="9">
        <v>0.87013888888888891</v>
      </c>
      <c r="D6">
        <v>0</v>
      </c>
      <c r="E6">
        <v>12</v>
      </c>
      <c r="F6">
        <v>60</v>
      </c>
      <c r="G6">
        <v>211</v>
      </c>
      <c r="H6" s="15">
        <f t="shared" ref="H6:H23" si="0">(E6-D6)*PI()*((F6/100)/2)^2</f>
        <v>3.3929200658769765</v>
      </c>
      <c r="I6" s="54">
        <v>16</v>
      </c>
      <c r="J6" s="54">
        <v>0</v>
      </c>
      <c r="K6" s="46">
        <f t="shared" ref="K6:K23" si="1">I6/H6</f>
        <v>4.7157020175376401</v>
      </c>
      <c r="L6" s="46">
        <f t="shared" ref="L6:L23" si="2">J6/H6</f>
        <v>0</v>
      </c>
      <c r="M6" s="46">
        <f t="shared" ref="M6:M23" si="3">I6/H6*(E6-D6)</f>
        <v>56.588424210451677</v>
      </c>
      <c r="N6" s="46">
        <f t="shared" ref="N6:N23" si="4">J6/H6*(E6-D6)</f>
        <v>0</v>
      </c>
      <c r="P6" s="54"/>
      <c r="Q6" s="54"/>
    </row>
    <row r="7" spans="1:17">
      <c r="A7" t="s">
        <v>115</v>
      </c>
      <c r="B7" s="26">
        <v>39202</v>
      </c>
      <c r="C7" s="9">
        <v>0.90277777777777779</v>
      </c>
      <c r="D7">
        <v>14</v>
      </c>
      <c r="E7">
        <v>40</v>
      </c>
      <c r="F7">
        <v>60</v>
      </c>
      <c r="G7">
        <v>211</v>
      </c>
      <c r="H7" s="15">
        <f t="shared" si="0"/>
        <v>7.3513268094001161</v>
      </c>
      <c r="I7" s="54">
        <v>130</v>
      </c>
      <c r="J7" s="54">
        <v>87</v>
      </c>
      <c r="K7" s="46">
        <f t="shared" si="1"/>
        <v>17.683882565766147</v>
      </c>
      <c r="L7" s="46">
        <f t="shared" si="2"/>
        <v>11.834598332474268</v>
      </c>
      <c r="M7" s="46">
        <f t="shared" si="3"/>
        <v>459.78094670991982</v>
      </c>
      <c r="N7" s="46">
        <f t="shared" si="4"/>
        <v>307.69955664433098</v>
      </c>
      <c r="P7" s="54"/>
      <c r="Q7" s="54"/>
    </row>
    <row r="8" spans="1:17">
      <c r="A8" t="s">
        <v>115</v>
      </c>
      <c r="B8" s="26">
        <v>39202</v>
      </c>
      <c r="C8" s="9">
        <v>0.90833333333333333</v>
      </c>
      <c r="D8">
        <v>0</v>
      </c>
      <c r="E8">
        <v>14</v>
      </c>
      <c r="F8">
        <v>60</v>
      </c>
      <c r="G8">
        <v>211</v>
      </c>
      <c r="H8" s="15">
        <f t="shared" si="0"/>
        <v>3.9584067435231391</v>
      </c>
      <c r="I8" s="54">
        <v>55</v>
      </c>
      <c r="J8" s="54">
        <v>40</v>
      </c>
      <c r="K8" s="46">
        <f t="shared" si="1"/>
        <v>13.89447915881626</v>
      </c>
      <c r="L8" s="46">
        <f t="shared" si="2"/>
        <v>10.105075751866371</v>
      </c>
      <c r="M8" s="46">
        <f t="shared" si="3"/>
        <v>194.52270822342763</v>
      </c>
      <c r="N8" s="46">
        <f t="shared" si="4"/>
        <v>141.47106052612921</v>
      </c>
      <c r="P8" s="54"/>
      <c r="Q8" s="54"/>
    </row>
    <row r="9" spans="1:17">
      <c r="A9" t="s">
        <v>116</v>
      </c>
      <c r="B9" s="26">
        <v>39202</v>
      </c>
      <c r="C9" s="9">
        <v>0.95763888888888893</v>
      </c>
      <c r="D9">
        <v>14</v>
      </c>
      <c r="E9">
        <v>40</v>
      </c>
      <c r="F9">
        <v>60</v>
      </c>
      <c r="G9">
        <v>211</v>
      </c>
      <c r="H9" s="15">
        <f t="shared" si="0"/>
        <v>7.3513268094001161</v>
      </c>
      <c r="I9" s="54">
        <v>139</v>
      </c>
      <c r="J9" s="54">
        <v>76</v>
      </c>
      <c r="K9" s="46">
        <f t="shared" si="1"/>
        <v>18.908151358780728</v>
      </c>
      <c r="L9" s="46">
        <f t="shared" si="2"/>
        <v>10.338269807678671</v>
      </c>
      <c r="M9" s="46">
        <f t="shared" si="3"/>
        <v>491.61193532829896</v>
      </c>
      <c r="N9" s="46">
        <f t="shared" si="4"/>
        <v>268.79501499964545</v>
      </c>
      <c r="P9" s="54"/>
      <c r="Q9" s="54"/>
    </row>
    <row r="10" spans="1:17">
      <c r="A10" t="s">
        <v>116</v>
      </c>
      <c r="B10" s="26">
        <v>39202</v>
      </c>
      <c r="C10" s="9">
        <v>0.95972222222222225</v>
      </c>
      <c r="D10">
        <v>0</v>
      </c>
      <c r="E10">
        <v>14</v>
      </c>
      <c r="F10">
        <v>60</v>
      </c>
      <c r="G10">
        <v>211</v>
      </c>
      <c r="H10" s="15">
        <f t="shared" si="0"/>
        <v>3.9584067435231391</v>
      </c>
      <c r="I10" s="54">
        <v>55</v>
      </c>
      <c r="J10" s="54">
        <v>98</v>
      </c>
      <c r="K10" s="46">
        <f t="shared" si="1"/>
        <v>13.89447915881626</v>
      </c>
      <c r="L10" s="46">
        <f t="shared" si="2"/>
        <v>24.757435592072611</v>
      </c>
      <c r="M10" s="46">
        <f t="shared" si="3"/>
        <v>194.52270822342763</v>
      </c>
      <c r="N10" s="46">
        <f t="shared" si="4"/>
        <v>346.60409828901652</v>
      </c>
      <c r="P10" s="54"/>
      <c r="Q10" s="54"/>
    </row>
    <row r="11" spans="1:17">
      <c r="A11" t="s">
        <v>118</v>
      </c>
      <c r="B11" s="26">
        <v>39202</v>
      </c>
      <c r="C11" s="9">
        <v>0.99236111111111114</v>
      </c>
      <c r="D11">
        <v>14</v>
      </c>
      <c r="E11">
        <v>40</v>
      </c>
      <c r="F11">
        <v>60</v>
      </c>
      <c r="G11">
        <v>211</v>
      </c>
      <c r="H11" s="15">
        <f t="shared" si="0"/>
        <v>7.3513268094001161</v>
      </c>
      <c r="I11" s="54">
        <v>112</v>
      </c>
      <c r="J11" s="54">
        <v>104</v>
      </c>
      <c r="K11" s="46">
        <f t="shared" si="1"/>
        <v>15.23534497973699</v>
      </c>
      <c r="L11" s="46">
        <f t="shared" si="2"/>
        <v>14.147106052612919</v>
      </c>
      <c r="M11" s="46">
        <f t="shared" si="3"/>
        <v>396.11896947316171</v>
      </c>
      <c r="N11" s="46">
        <f t="shared" si="4"/>
        <v>367.82475736793589</v>
      </c>
      <c r="P11" s="54"/>
      <c r="Q11" s="54"/>
    </row>
    <row r="12" spans="1:17">
      <c r="A12" t="s">
        <v>118</v>
      </c>
      <c r="B12" s="26">
        <v>39202</v>
      </c>
      <c r="C12" s="9">
        <v>0.99444444444444446</v>
      </c>
      <c r="D12">
        <v>0</v>
      </c>
      <c r="E12">
        <v>14</v>
      </c>
      <c r="F12">
        <v>60</v>
      </c>
      <c r="G12">
        <v>211</v>
      </c>
      <c r="H12" s="15">
        <f t="shared" si="0"/>
        <v>3.9584067435231391</v>
      </c>
      <c r="I12" s="54">
        <v>39</v>
      </c>
      <c r="J12" s="54">
        <v>82</v>
      </c>
      <c r="K12" s="46">
        <f t="shared" si="1"/>
        <v>9.852448858069712</v>
      </c>
      <c r="L12" s="46">
        <f t="shared" si="2"/>
        <v>20.715405291326061</v>
      </c>
      <c r="M12" s="46">
        <f t="shared" si="3"/>
        <v>137.93428401297598</v>
      </c>
      <c r="N12" s="46">
        <f t="shared" si="4"/>
        <v>290.01567407856487</v>
      </c>
      <c r="P12" s="54"/>
      <c r="Q12" s="54"/>
    </row>
    <row r="13" spans="1:17">
      <c r="A13" t="s">
        <v>119</v>
      </c>
      <c r="B13" s="26">
        <v>39203</v>
      </c>
      <c r="C13" s="9">
        <v>4.0972222222222222E-2</v>
      </c>
      <c r="D13">
        <v>14</v>
      </c>
      <c r="E13">
        <v>40</v>
      </c>
      <c r="F13">
        <v>60</v>
      </c>
      <c r="G13">
        <v>211</v>
      </c>
      <c r="H13" s="15">
        <f t="shared" si="0"/>
        <v>7.3513268094001161</v>
      </c>
      <c r="I13" s="54">
        <v>9</v>
      </c>
      <c r="J13" s="54">
        <v>28</v>
      </c>
      <c r="K13" s="46">
        <f t="shared" si="1"/>
        <v>1.2242687930145795</v>
      </c>
      <c r="L13" s="46">
        <f t="shared" si="2"/>
        <v>3.8088362449342474</v>
      </c>
      <c r="M13" s="46">
        <f t="shared" si="3"/>
        <v>31.830988618379067</v>
      </c>
      <c r="N13" s="46">
        <f t="shared" si="4"/>
        <v>99.029742368290428</v>
      </c>
      <c r="P13" s="54"/>
      <c r="Q13" s="54"/>
    </row>
    <row r="14" spans="1:17">
      <c r="A14" t="s">
        <v>119</v>
      </c>
      <c r="B14" s="26">
        <v>39203</v>
      </c>
      <c r="C14" s="9">
        <v>4.7222222222222221E-2</v>
      </c>
      <c r="D14">
        <v>0</v>
      </c>
      <c r="E14">
        <v>14</v>
      </c>
      <c r="F14">
        <v>60</v>
      </c>
      <c r="G14">
        <v>211</v>
      </c>
      <c r="H14" s="15">
        <f t="shared" si="0"/>
        <v>3.9584067435231391</v>
      </c>
      <c r="I14" s="54">
        <v>54</v>
      </c>
      <c r="J14" s="54">
        <v>54</v>
      </c>
      <c r="K14" s="46">
        <f t="shared" si="1"/>
        <v>13.641852265019601</v>
      </c>
      <c r="L14" s="46">
        <f t="shared" si="2"/>
        <v>13.641852265019601</v>
      </c>
      <c r="M14" s="46">
        <f t="shared" si="3"/>
        <v>190.98593171027443</v>
      </c>
      <c r="N14" s="46">
        <f t="shared" si="4"/>
        <v>190.98593171027443</v>
      </c>
      <c r="P14" s="54"/>
      <c r="Q14" s="54"/>
    </row>
    <row r="15" spans="1:17">
      <c r="A15" t="s">
        <v>120</v>
      </c>
      <c r="B15" s="26">
        <v>39203</v>
      </c>
      <c r="C15" s="9">
        <v>8.0555555555555561E-2</v>
      </c>
      <c r="D15">
        <v>14</v>
      </c>
      <c r="E15">
        <v>40</v>
      </c>
      <c r="F15">
        <v>60</v>
      </c>
      <c r="G15">
        <v>211</v>
      </c>
      <c r="H15" s="15">
        <f t="shared" si="0"/>
        <v>7.3513268094001161</v>
      </c>
      <c r="I15" s="54">
        <v>129</v>
      </c>
      <c r="J15" s="54">
        <v>162</v>
      </c>
      <c r="K15" s="46">
        <f t="shared" si="1"/>
        <v>17.547852699875641</v>
      </c>
      <c r="L15" s="46">
        <f t="shared" si="2"/>
        <v>22.036838274262433</v>
      </c>
      <c r="M15" s="46">
        <f t="shared" si="3"/>
        <v>456.24417019676667</v>
      </c>
      <c r="N15" s="46">
        <f t="shared" si="4"/>
        <v>572.95779513082323</v>
      </c>
      <c r="P15" s="54"/>
      <c r="Q15" s="54"/>
    </row>
    <row r="16" spans="1:17">
      <c r="A16" t="s">
        <v>120</v>
      </c>
      <c r="B16" s="26">
        <v>39203</v>
      </c>
      <c r="C16" s="9">
        <v>8.4027777777777771E-2</v>
      </c>
      <c r="D16">
        <v>0</v>
      </c>
      <c r="E16">
        <v>14</v>
      </c>
      <c r="F16">
        <v>60</v>
      </c>
      <c r="G16">
        <v>211</v>
      </c>
      <c r="H16" s="15">
        <f t="shared" si="0"/>
        <v>3.9584067435231391</v>
      </c>
      <c r="I16" s="54">
        <v>62</v>
      </c>
      <c r="J16" s="54">
        <v>59</v>
      </c>
      <c r="K16" s="46">
        <f t="shared" si="1"/>
        <v>15.662867415392876</v>
      </c>
      <c r="L16" s="46">
        <f t="shared" si="2"/>
        <v>14.904986734002899</v>
      </c>
      <c r="M16" s="46">
        <f t="shared" si="3"/>
        <v>219.28014381550025</v>
      </c>
      <c r="N16" s="46">
        <f t="shared" si="4"/>
        <v>208.66981427604057</v>
      </c>
      <c r="P16" s="54"/>
      <c r="Q16" s="54"/>
    </row>
    <row r="17" spans="1:22">
      <c r="A17" t="s">
        <v>121</v>
      </c>
      <c r="B17" s="26">
        <v>39203</v>
      </c>
      <c r="C17" s="9">
        <v>0.12291666666666667</v>
      </c>
      <c r="D17">
        <v>14</v>
      </c>
      <c r="E17">
        <v>40</v>
      </c>
      <c r="F17">
        <v>60</v>
      </c>
      <c r="G17">
        <v>211</v>
      </c>
      <c r="H17" s="15">
        <f t="shared" si="0"/>
        <v>7.3513268094001161</v>
      </c>
      <c r="I17" s="54">
        <v>43</v>
      </c>
      <c r="J17" s="54">
        <v>59</v>
      </c>
      <c r="K17" s="46">
        <f t="shared" si="1"/>
        <v>5.84928423329188</v>
      </c>
      <c r="L17" s="46">
        <f t="shared" si="2"/>
        <v>8.0257620875400217</v>
      </c>
      <c r="M17" s="46">
        <f t="shared" si="3"/>
        <v>152.08139006558889</v>
      </c>
      <c r="N17" s="46">
        <f t="shared" si="4"/>
        <v>208.66981427604057</v>
      </c>
      <c r="P17" s="54"/>
      <c r="Q17" s="54"/>
    </row>
    <row r="18" spans="1:22">
      <c r="A18" t="s">
        <v>121</v>
      </c>
      <c r="B18" s="26">
        <v>39203</v>
      </c>
      <c r="C18" s="9">
        <v>0.12569444444444444</v>
      </c>
      <c r="D18">
        <v>0</v>
      </c>
      <c r="E18">
        <v>14</v>
      </c>
      <c r="F18">
        <v>60</v>
      </c>
      <c r="G18">
        <v>211</v>
      </c>
      <c r="H18" s="15">
        <f t="shared" si="0"/>
        <v>3.9584067435231391</v>
      </c>
      <c r="I18" s="54">
        <v>50</v>
      </c>
      <c r="J18" s="54">
        <v>62</v>
      </c>
      <c r="K18" s="46">
        <f t="shared" si="1"/>
        <v>12.631344689832964</v>
      </c>
      <c r="L18" s="46">
        <f t="shared" si="2"/>
        <v>15.662867415392876</v>
      </c>
      <c r="M18" s="46">
        <f t="shared" si="3"/>
        <v>176.83882565766152</v>
      </c>
      <c r="N18" s="46">
        <f t="shared" si="4"/>
        <v>219.28014381550025</v>
      </c>
      <c r="P18" s="54"/>
      <c r="Q18" s="54"/>
    </row>
    <row r="19" spans="1:22">
      <c r="A19" t="s">
        <v>122</v>
      </c>
      <c r="B19" s="26">
        <v>39203</v>
      </c>
      <c r="C19" s="9">
        <v>0.16597222222222222</v>
      </c>
      <c r="D19">
        <v>14</v>
      </c>
      <c r="E19">
        <v>40</v>
      </c>
      <c r="F19">
        <v>60</v>
      </c>
      <c r="G19">
        <v>211</v>
      </c>
      <c r="H19" s="15">
        <f t="shared" si="0"/>
        <v>7.3513268094001161</v>
      </c>
      <c r="I19" s="54">
        <v>69</v>
      </c>
      <c r="J19" s="54">
        <v>130</v>
      </c>
      <c r="K19" s="46">
        <f t="shared" si="1"/>
        <v>9.3860607464451089</v>
      </c>
      <c r="L19" s="46">
        <f t="shared" si="2"/>
        <v>17.683882565766147</v>
      </c>
      <c r="M19" s="46">
        <f t="shared" si="3"/>
        <v>244.03757940757282</v>
      </c>
      <c r="N19" s="46">
        <f t="shared" si="4"/>
        <v>459.78094670991982</v>
      </c>
      <c r="P19" s="54"/>
      <c r="Q19" s="54"/>
    </row>
    <row r="20" spans="1:22">
      <c r="A20" t="s">
        <v>122</v>
      </c>
      <c r="B20" s="26">
        <v>39203</v>
      </c>
      <c r="C20" s="9">
        <v>0.16874999999999998</v>
      </c>
      <c r="D20">
        <v>0</v>
      </c>
      <c r="E20">
        <v>14</v>
      </c>
      <c r="F20">
        <v>60</v>
      </c>
      <c r="G20">
        <v>211</v>
      </c>
      <c r="H20" s="15">
        <f t="shared" si="0"/>
        <v>3.9584067435231391</v>
      </c>
      <c r="I20" s="54">
        <v>121</v>
      </c>
      <c r="J20" s="54">
        <v>38</v>
      </c>
      <c r="K20" s="46">
        <f t="shared" si="1"/>
        <v>30.567854149395774</v>
      </c>
      <c r="L20" s="46">
        <f t="shared" si="2"/>
        <v>9.5998219642730529</v>
      </c>
      <c r="M20" s="46">
        <f t="shared" si="3"/>
        <v>427.94995809154085</v>
      </c>
      <c r="N20" s="46">
        <f t="shared" si="4"/>
        <v>134.39750749982275</v>
      </c>
      <c r="P20" s="54"/>
      <c r="Q20" s="54"/>
    </row>
    <row r="21" spans="1:22">
      <c r="A21" t="s">
        <v>123</v>
      </c>
      <c r="B21" s="26">
        <v>39203</v>
      </c>
      <c r="C21" s="9">
        <v>0.21180555555555555</v>
      </c>
      <c r="D21">
        <v>14</v>
      </c>
      <c r="E21">
        <v>40</v>
      </c>
      <c r="F21">
        <v>60</v>
      </c>
      <c r="G21">
        <v>211</v>
      </c>
      <c r="H21" s="15">
        <f t="shared" si="0"/>
        <v>7.3513268094001161</v>
      </c>
      <c r="I21" s="54">
        <v>40</v>
      </c>
      <c r="J21" s="54">
        <v>84</v>
      </c>
      <c r="K21" s="46">
        <f t="shared" si="1"/>
        <v>5.4411946356203531</v>
      </c>
      <c r="L21" s="46">
        <f t="shared" si="2"/>
        <v>11.426508734802741</v>
      </c>
      <c r="M21" s="46">
        <f t="shared" si="3"/>
        <v>141.47106052612918</v>
      </c>
      <c r="N21" s="46">
        <f t="shared" si="4"/>
        <v>297.08922710487127</v>
      </c>
      <c r="P21" s="54"/>
      <c r="Q21" s="54"/>
    </row>
    <row r="22" spans="1:22">
      <c r="A22" t="s">
        <v>123</v>
      </c>
      <c r="B22" s="26">
        <v>39203</v>
      </c>
      <c r="C22" s="9">
        <v>0.21736111111111112</v>
      </c>
      <c r="D22">
        <v>0</v>
      </c>
      <c r="E22">
        <v>14</v>
      </c>
      <c r="F22">
        <v>60</v>
      </c>
      <c r="G22">
        <v>211</v>
      </c>
      <c r="H22" s="15">
        <f t="shared" si="0"/>
        <v>3.9584067435231391</v>
      </c>
      <c r="I22" s="54">
        <v>81</v>
      </c>
      <c r="J22" s="54">
        <v>24</v>
      </c>
      <c r="K22" s="46">
        <f t="shared" si="1"/>
        <v>20.462778397529402</v>
      </c>
      <c r="L22" s="46">
        <f t="shared" si="2"/>
        <v>6.0630454511198231</v>
      </c>
      <c r="M22" s="46">
        <f t="shared" si="3"/>
        <v>286.47889756541161</v>
      </c>
      <c r="N22" s="46">
        <f t="shared" si="4"/>
        <v>84.88263631567753</v>
      </c>
      <c r="R22" s="54"/>
      <c r="S22" s="54"/>
      <c r="T22" s="54"/>
      <c r="U22" s="54"/>
    </row>
    <row r="23" spans="1:22">
      <c r="A23" t="s">
        <v>117</v>
      </c>
      <c r="B23" s="26">
        <v>39203</v>
      </c>
      <c r="C23" s="9">
        <v>0.25277777777777777</v>
      </c>
      <c r="D23">
        <v>0</v>
      </c>
      <c r="E23">
        <v>40</v>
      </c>
      <c r="F23">
        <v>60</v>
      </c>
      <c r="G23">
        <v>211</v>
      </c>
      <c r="H23" s="15">
        <f t="shared" si="0"/>
        <v>11.309733552923255</v>
      </c>
      <c r="I23" s="54">
        <v>84</v>
      </c>
      <c r="J23" s="54">
        <v>15</v>
      </c>
      <c r="K23" s="46">
        <f t="shared" si="1"/>
        <v>7.4272306776217825</v>
      </c>
      <c r="L23" s="46">
        <f t="shared" si="2"/>
        <v>1.3262911924324612</v>
      </c>
      <c r="M23" s="46">
        <f t="shared" si="3"/>
        <v>297.08922710487127</v>
      </c>
      <c r="N23" s="46">
        <f t="shared" si="4"/>
        <v>53.051647697298449</v>
      </c>
      <c r="R23" s="54"/>
      <c r="S23" s="54"/>
      <c r="T23" s="54"/>
      <c r="U23" s="54"/>
    </row>
    <row r="24" spans="1:22">
      <c r="A24" t="s">
        <v>124</v>
      </c>
      <c r="B24" s="26">
        <v>39203</v>
      </c>
      <c r="C24" s="9">
        <v>0.84444444444444444</v>
      </c>
      <c r="D24">
        <v>20</v>
      </c>
      <c r="E24">
        <v>40</v>
      </c>
      <c r="F24">
        <v>60</v>
      </c>
      <c r="G24">
        <v>211</v>
      </c>
      <c r="H24" s="15">
        <f t="shared" ref="H24:H47" si="5">(E24-D24)*PI()*((F24/100)/2)^2</f>
        <v>5.6548667764616276</v>
      </c>
      <c r="I24" s="54">
        <v>72</v>
      </c>
      <c r="J24" s="54">
        <v>41</v>
      </c>
      <c r="K24" s="46">
        <f t="shared" ref="K24:K35" si="6">I24/H24</f>
        <v>12.732395447351628</v>
      </c>
      <c r="L24" s="46">
        <f t="shared" ref="L24:L35" si="7">J24/H24</f>
        <v>7.2503918519641211</v>
      </c>
      <c r="M24" s="46">
        <f t="shared" ref="M24:M35" si="8">I24/H24*(E24-D24)</f>
        <v>254.64790894703256</v>
      </c>
      <c r="N24" s="46">
        <f t="shared" ref="N24:N35" si="9">J24/H24*(E24-D24)</f>
        <v>145.00783703928244</v>
      </c>
      <c r="R24" s="54"/>
      <c r="S24" s="54"/>
      <c r="T24" s="54"/>
      <c r="U24" s="54"/>
    </row>
    <row r="25" spans="1:22">
      <c r="A25" t="s">
        <v>124</v>
      </c>
      <c r="B25" s="26">
        <v>39203</v>
      </c>
      <c r="C25" s="9">
        <v>0.84722222222222221</v>
      </c>
      <c r="D25">
        <v>0</v>
      </c>
      <c r="E25">
        <v>20</v>
      </c>
      <c r="F25">
        <v>60</v>
      </c>
      <c r="G25">
        <v>211</v>
      </c>
      <c r="H25" s="15">
        <f t="shared" si="5"/>
        <v>5.6548667764616276</v>
      </c>
      <c r="I25" s="54">
        <v>13</v>
      </c>
      <c r="J25" s="54">
        <v>0</v>
      </c>
      <c r="K25" s="46">
        <f t="shared" si="6"/>
        <v>2.2989047335495996</v>
      </c>
      <c r="L25" s="46">
        <f t="shared" si="7"/>
        <v>0</v>
      </c>
      <c r="M25" s="46">
        <f t="shared" si="8"/>
        <v>45.978094670991993</v>
      </c>
      <c r="N25" s="46">
        <f t="shared" si="9"/>
        <v>0</v>
      </c>
      <c r="P25" s="54"/>
      <c r="R25" s="54"/>
      <c r="S25" s="54"/>
      <c r="T25" s="54"/>
      <c r="U25" s="54"/>
      <c r="V25" s="54"/>
    </row>
    <row r="26" spans="1:22">
      <c r="A26" t="s">
        <v>125</v>
      </c>
      <c r="B26" s="26">
        <v>39203</v>
      </c>
      <c r="C26" s="9">
        <v>0.88402777777777775</v>
      </c>
      <c r="D26">
        <v>20</v>
      </c>
      <c r="E26">
        <v>40</v>
      </c>
      <c r="F26">
        <v>60</v>
      </c>
      <c r="G26">
        <v>211</v>
      </c>
      <c r="H26" s="15">
        <f t="shared" si="5"/>
        <v>5.6548667764616276</v>
      </c>
      <c r="I26" s="54">
        <v>30</v>
      </c>
      <c r="J26" s="54">
        <v>81</v>
      </c>
      <c r="K26" s="46">
        <f t="shared" si="6"/>
        <v>5.3051647697298447</v>
      </c>
      <c r="L26" s="46">
        <f t="shared" si="7"/>
        <v>14.323944878270581</v>
      </c>
      <c r="M26" s="46">
        <f t="shared" si="8"/>
        <v>106.1032953945969</v>
      </c>
      <c r="N26" s="46">
        <f t="shared" si="9"/>
        <v>286.47889756541161</v>
      </c>
      <c r="P26" s="54"/>
      <c r="V26" s="54"/>
    </row>
    <row r="27" spans="1:22">
      <c r="A27" t="s">
        <v>125</v>
      </c>
      <c r="B27" s="26">
        <v>39203</v>
      </c>
      <c r="C27" s="9">
        <v>0.88750000000000007</v>
      </c>
      <c r="D27">
        <v>0</v>
      </c>
      <c r="E27">
        <v>20</v>
      </c>
      <c r="F27">
        <v>60</v>
      </c>
      <c r="G27">
        <v>211</v>
      </c>
      <c r="H27" s="15">
        <f t="shared" si="5"/>
        <v>5.6548667764616276</v>
      </c>
      <c r="I27" s="54">
        <v>12</v>
      </c>
      <c r="J27" s="54">
        <v>63</v>
      </c>
      <c r="K27" s="46">
        <f t="shared" si="6"/>
        <v>2.1220659078919377</v>
      </c>
      <c r="L27" s="46">
        <f t="shared" si="7"/>
        <v>11.140846016432674</v>
      </c>
      <c r="M27" s="46">
        <f t="shared" si="8"/>
        <v>42.441318157838751</v>
      </c>
      <c r="N27" s="46">
        <f t="shared" si="9"/>
        <v>222.81692032865348</v>
      </c>
      <c r="P27" s="54"/>
      <c r="V27" s="54"/>
    </row>
    <row r="28" spans="1:22">
      <c r="A28" t="s">
        <v>126</v>
      </c>
      <c r="B28" s="26">
        <v>39203</v>
      </c>
      <c r="C28" s="9">
        <v>0.92708333333333337</v>
      </c>
      <c r="D28">
        <v>20</v>
      </c>
      <c r="E28">
        <v>40</v>
      </c>
      <c r="F28">
        <v>60</v>
      </c>
      <c r="G28">
        <v>211</v>
      </c>
      <c r="H28" s="15">
        <f t="shared" si="5"/>
        <v>5.6548667764616276</v>
      </c>
      <c r="I28" s="54">
        <v>80</v>
      </c>
      <c r="J28" s="54">
        <v>122</v>
      </c>
      <c r="K28" s="46">
        <f t="shared" si="6"/>
        <v>14.147106052612919</v>
      </c>
      <c r="L28" s="46">
        <f t="shared" si="7"/>
        <v>21.574336730234702</v>
      </c>
      <c r="M28" s="46">
        <f t="shared" si="8"/>
        <v>282.94212105225836</v>
      </c>
      <c r="N28" s="46">
        <f t="shared" si="9"/>
        <v>431.48673460469405</v>
      </c>
      <c r="P28" s="54"/>
      <c r="V28" s="54"/>
    </row>
    <row r="29" spans="1:22">
      <c r="A29" t="s">
        <v>126</v>
      </c>
      <c r="B29" s="26">
        <v>39203</v>
      </c>
      <c r="C29" s="9">
        <v>0.93055555555555547</v>
      </c>
      <c r="D29">
        <v>0</v>
      </c>
      <c r="E29">
        <v>20</v>
      </c>
      <c r="F29">
        <v>60</v>
      </c>
      <c r="G29">
        <v>211</v>
      </c>
      <c r="H29" s="15">
        <f t="shared" si="5"/>
        <v>5.6548667764616276</v>
      </c>
      <c r="I29" s="54">
        <v>16</v>
      </c>
      <c r="J29" s="54">
        <v>124</v>
      </c>
      <c r="K29" s="46">
        <f t="shared" si="6"/>
        <v>2.8294212105225838</v>
      </c>
      <c r="L29" s="46">
        <f t="shared" si="7"/>
        <v>21.928014381550025</v>
      </c>
      <c r="M29" s="46">
        <f t="shared" si="8"/>
        <v>56.588424210451677</v>
      </c>
      <c r="N29" s="46">
        <f t="shared" si="9"/>
        <v>438.56028763100051</v>
      </c>
      <c r="P29" s="54"/>
      <c r="Q29" s="54"/>
      <c r="V29" s="54"/>
    </row>
    <row r="30" spans="1:22">
      <c r="A30" t="s">
        <v>127</v>
      </c>
      <c r="B30" s="26">
        <v>39203</v>
      </c>
      <c r="C30" s="9">
        <v>0.96736111111111101</v>
      </c>
      <c r="D30">
        <v>20</v>
      </c>
      <c r="E30">
        <v>40</v>
      </c>
      <c r="F30">
        <v>60</v>
      </c>
      <c r="G30">
        <v>211</v>
      </c>
      <c r="H30" s="15">
        <f t="shared" si="5"/>
        <v>5.6548667764616276</v>
      </c>
      <c r="I30" s="54">
        <v>42</v>
      </c>
      <c r="J30" s="54">
        <v>53</v>
      </c>
      <c r="K30" s="46">
        <f t="shared" si="6"/>
        <v>7.4272306776217825</v>
      </c>
      <c r="L30" s="46">
        <f t="shared" si="7"/>
        <v>9.3724577598560597</v>
      </c>
      <c r="M30" s="46">
        <f t="shared" si="8"/>
        <v>148.54461355243564</v>
      </c>
      <c r="N30" s="46">
        <f t="shared" si="9"/>
        <v>187.4491551971212</v>
      </c>
      <c r="P30" s="54"/>
      <c r="Q30" s="54"/>
      <c r="V30" s="54"/>
    </row>
    <row r="31" spans="1:22">
      <c r="A31" t="s">
        <v>127</v>
      </c>
      <c r="B31" s="26">
        <v>39203</v>
      </c>
      <c r="C31" s="9">
        <v>0.97152777777777777</v>
      </c>
      <c r="D31">
        <v>0</v>
      </c>
      <c r="E31">
        <v>20</v>
      </c>
      <c r="F31">
        <v>60</v>
      </c>
      <c r="G31">
        <v>211</v>
      </c>
      <c r="H31" s="15">
        <f t="shared" si="5"/>
        <v>5.6548667764616276</v>
      </c>
      <c r="I31" s="54">
        <v>17</v>
      </c>
      <c r="J31" s="54">
        <v>81</v>
      </c>
      <c r="K31" s="46">
        <f t="shared" si="6"/>
        <v>3.0062600361802452</v>
      </c>
      <c r="L31" s="46">
        <f t="shared" si="7"/>
        <v>14.323944878270581</v>
      </c>
      <c r="M31" s="46">
        <f t="shared" si="8"/>
        <v>60.125200723604905</v>
      </c>
      <c r="N31" s="46">
        <f t="shared" si="9"/>
        <v>286.47889756541161</v>
      </c>
      <c r="P31" s="54"/>
      <c r="Q31" s="54"/>
      <c r="V31" s="54"/>
    </row>
    <row r="32" spans="1:22">
      <c r="A32" t="s">
        <v>128</v>
      </c>
      <c r="B32" s="26">
        <v>39204</v>
      </c>
      <c r="C32" s="9">
        <v>7.6388888888888886E-3</v>
      </c>
      <c r="D32">
        <v>20</v>
      </c>
      <c r="E32">
        <v>40</v>
      </c>
      <c r="F32">
        <v>60</v>
      </c>
      <c r="G32">
        <v>211</v>
      </c>
      <c r="H32" s="15">
        <f t="shared" si="5"/>
        <v>5.6548667764616276</v>
      </c>
      <c r="I32" s="54">
        <v>69</v>
      </c>
      <c r="J32" s="54">
        <v>112</v>
      </c>
      <c r="K32" s="46">
        <f t="shared" si="6"/>
        <v>12.201878970378642</v>
      </c>
      <c r="L32" s="46">
        <f t="shared" si="7"/>
        <v>19.805948473658088</v>
      </c>
      <c r="M32" s="46">
        <f t="shared" si="8"/>
        <v>244.03757940757285</v>
      </c>
      <c r="N32" s="46">
        <f t="shared" si="9"/>
        <v>396.11896947316177</v>
      </c>
      <c r="P32" s="54"/>
      <c r="Q32" s="54"/>
      <c r="V32" s="54"/>
    </row>
    <row r="33" spans="1:17">
      <c r="A33" t="s">
        <v>128</v>
      </c>
      <c r="B33" s="26">
        <v>39204</v>
      </c>
      <c r="C33" s="9">
        <v>1.3888888888888888E-2</v>
      </c>
      <c r="D33">
        <v>0</v>
      </c>
      <c r="E33">
        <v>20</v>
      </c>
      <c r="F33">
        <v>60</v>
      </c>
      <c r="G33">
        <v>211</v>
      </c>
      <c r="H33" s="15">
        <f t="shared" si="5"/>
        <v>5.6548667764616276</v>
      </c>
      <c r="I33" s="54">
        <v>21</v>
      </c>
      <c r="J33" s="54">
        <v>77</v>
      </c>
      <c r="K33" s="46">
        <f t="shared" si="6"/>
        <v>3.7136153388108912</v>
      </c>
      <c r="L33" s="46">
        <f t="shared" si="7"/>
        <v>13.616589575639935</v>
      </c>
      <c r="M33" s="46">
        <f t="shared" si="8"/>
        <v>74.272306776217818</v>
      </c>
      <c r="N33" s="46">
        <f t="shared" si="9"/>
        <v>272.3317915127987</v>
      </c>
      <c r="P33" s="54"/>
      <c r="Q33" s="54"/>
    </row>
    <row r="34" spans="1:17">
      <c r="A34" t="s">
        <v>129</v>
      </c>
      <c r="B34" s="26">
        <v>39204</v>
      </c>
      <c r="C34" s="9">
        <v>4.5833333333333337E-2</v>
      </c>
      <c r="D34">
        <v>20</v>
      </c>
      <c r="E34">
        <v>40</v>
      </c>
      <c r="F34">
        <v>60</v>
      </c>
      <c r="G34">
        <v>211</v>
      </c>
      <c r="H34" s="15">
        <f t="shared" si="5"/>
        <v>5.6548667764616276</v>
      </c>
      <c r="I34" s="54">
        <v>47</v>
      </c>
      <c r="J34" s="54">
        <v>80</v>
      </c>
      <c r="K34" s="46">
        <f t="shared" si="6"/>
        <v>8.3114248059100895</v>
      </c>
      <c r="L34" s="46">
        <f t="shared" si="7"/>
        <v>14.147106052612919</v>
      </c>
      <c r="M34" s="46">
        <f t="shared" si="8"/>
        <v>166.2284961182018</v>
      </c>
      <c r="N34" s="46">
        <f t="shared" si="9"/>
        <v>282.94212105225836</v>
      </c>
      <c r="P34" s="54"/>
      <c r="Q34" s="54"/>
    </row>
    <row r="35" spans="1:17">
      <c r="A35" t="s">
        <v>129</v>
      </c>
      <c r="B35" s="26">
        <v>39204</v>
      </c>
      <c r="C35" s="9">
        <v>5.0694444444444452E-2</v>
      </c>
      <c r="D35">
        <v>0</v>
      </c>
      <c r="E35">
        <v>20</v>
      </c>
      <c r="F35">
        <v>60</v>
      </c>
      <c r="G35">
        <v>211</v>
      </c>
      <c r="H35" s="15">
        <f t="shared" si="5"/>
        <v>5.6548667764616276</v>
      </c>
      <c r="I35" s="54">
        <v>29</v>
      </c>
      <c r="J35" s="54">
        <v>29</v>
      </c>
      <c r="K35" s="46">
        <f t="shared" si="6"/>
        <v>5.1283259440721833</v>
      </c>
      <c r="L35" s="46">
        <f t="shared" si="7"/>
        <v>5.1283259440721833</v>
      </c>
      <c r="M35" s="46">
        <f t="shared" si="8"/>
        <v>102.56651888144367</v>
      </c>
      <c r="N35" s="46">
        <f t="shared" si="9"/>
        <v>102.56651888144367</v>
      </c>
      <c r="P35" s="54"/>
      <c r="Q35" s="54"/>
    </row>
    <row r="36" spans="1:17">
      <c r="A36" t="s">
        <v>71</v>
      </c>
      <c r="B36" s="26">
        <v>39204</v>
      </c>
      <c r="C36" s="9">
        <v>8.6111111111111124E-2</v>
      </c>
      <c r="D36">
        <v>30</v>
      </c>
      <c r="E36">
        <v>40</v>
      </c>
      <c r="F36">
        <v>60</v>
      </c>
      <c r="G36">
        <v>211</v>
      </c>
      <c r="H36" s="15">
        <f t="shared" ref="H36:H43" si="10">(E36-D36)*PI()*((F36/100)/2)^2</f>
        <v>2.8274333882308138</v>
      </c>
      <c r="I36" s="54">
        <v>13</v>
      </c>
      <c r="J36" s="54">
        <v>52</v>
      </c>
      <c r="K36" s="46">
        <f t="shared" ref="K36:K55" si="11">I36/H36</f>
        <v>4.5978094670991991</v>
      </c>
      <c r="L36" s="46">
        <f t="shared" ref="L36:L55" si="12">J36/H36</f>
        <v>18.391237868396797</v>
      </c>
      <c r="M36" s="46">
        <f t="shared" ref="M36:M55" si="13">I36/H36*(E36-D36)</f>
        <v>45.978094670991993</v>
      </c>
      <c r="N36" s="46">
        <f t="shared" ref="N36:N55" si="14">J36/H36*(E36-D36)</f>
        <v>183.91237868396797</v>
      </c>
      <c r="P36" s="54"/>
      <c r="Q36" s="54"/>
    </row>
    <row r="37" spans="1:17">
      <c r="A37" t="s">
        <v>71</v>
      </c>
      <c r="B37" s="26">
        <v>39204</v>
      </c>
      <c r="C37" s="9">
        <v>8.9583333333333334E-2</v>
      </c>
      <c r="D37">
        <v>20</v>
      </c>
      <c r="E37">
        <v>30</v>
      </c>
      <c r="F37">
        <v>60</v>
      </c>
      <c r="G37">
        <v>211</v>
      </c>
      <c r="H37" s="15">
        <f t="shared" si="10"/>
        <v>2.8274333882308138</v>
      </c>
      <c r="I37" s="54">
        <v>46</v>
      </c>
      <c r="J37" s="54">
        <v>94</v>
      </c>
      <c r="K37" s="46">
        <f t="shared" si="11"/>
        <v>16.269171960504856</v>
      </c>
      <c r="L37" s="46">
        <f t="shared" si="12"/>
        <v>33.245699223640358</v>
      </c>
      <c r="M37" s="46">
        <f t="shared" si="13"/>
        <v>162.69171960504855</v>
      </c>
      <c r="N37" s="46">
        <f t="shared" si="14"/>
        <v>332.45699223640361</v>
      </c>
      <c r="P37" s="54"/>
      <c r="Q37" s="54"/>
    </row>
    <row r="38" spans="1:17">
      <c r="A38" t="s">
        <v>71</v>
      </c>
      <c r="B38" s="26">
        <v>39204</v>
      </c>
      <c r="C38" s="9">
        <v>9.2361111111111116E-2</v>
      </c>
      <c r="D38">
        <v>10</v>
      </c>
      <c r="E38">
        <v>20</v>
      </c>
      <c r="F38">
        <v>60</v>
      </c>
      <c r="G38">
        <v>211</v>
      </c>
      <c r="H38" s="15">
        <f t="shared" si="10"/>
        <v>2.8274333882308138</v>
      </c>
      <c r="I38" s="54">
        <v>43</v>
      </c>
      <c r="J38" s="54">
        <v>76</v>
      </c>
      <c r="K38" s="46">
        <f t="shared" si="11"/>
        <v>15.208139006558888</v>
      </c>
      <c r="L38" s="46">
        <f t="shared" si="12"/>
        <v>26.879501499964547</v>
      </c>
      <c r="M38" s="46">
        <f t="shared" si="13"/>
        <v>152.08139006558889</v>
      </c>
      <c r="N38" s="46">
        <f t="shared" si="14"/>
        <v>268.79501499964545</v>
      </c>
      <c r="P38" s="54"/>
      <c r="Q38" s="54"/>
    </row>
    <row r="39" spans="1:17">
      <c r="A39" t="s">
        <v>71</v>
      </c>
      <c r="B39" s="26">
        <v>39204</v>
      </c>
      <c r="C39" s="9">
        <v>9.5833333333333326E-2</v>
      </c>
      <c r="D39">
        <v>0</v>
      </c>
      <c r="E39">
        <v>10</v>
      </c>
      <c r="F39">
        <v>60</v>
      </c>
      <c r="G39">
        <v>211</v>
      </c>
      <c r="H39" s="15">
        <f t="shared" si="10"/>
        <v>2.8274333882308138</v>
      </c>
      <c r="I39" s="54">
        <v>7</v>
      </c>
      <c r="J39" s="54">
        <v>0</v>
      </c>
      <c r="K39" s="46">
        <f t="shared" si="11"/>
        <v>2.475743559207261</v>
      </c>
      <c r="L39" s="46">
        <f t="shared" si="12"/>
        <v>0</v>
      </c>
      <c r="M39" s="46">
        <f t="shared" si="13"/>
        <v>24.757435592072611</v>
      </c>
      <c r="N39" s="46">
        <f t="shared" si="14"/>
        <v>0</v>
      </c>
      <c r="P39" s="54"/>
      <c r="Q39" s="54"/>
    </row>
    <row r="40" spans="1:17">
      <c r="A40" t="s">
        <v>72</v>
      </c>
      <c r="B40" s="26">
        <v>39204</v>
      </c>
      <c r="C40" s="9">
        <v>9.930555555555555E-2</v>
      </c>
      <c r="D40">
        <v>30</v>
      </c>
      <c r="E40">
        <v>40</v>
      </c>
      <c r="F40">
        <v>60</v>
      </c>
      <c r="G40">
        <v>211</v>
      </c>
      <c r="H40" s="15">
        <f t="shared" si="10"/>
        <v>2.8274333882308138</v>
      </c>
      <c r="I40" s="54">
        <v>16</v>
      </c>
      <c r="J40" s="54">
        <v>51</v>
      </c>
      <c r="K40" s="46">
        <f t="shared" si="11"/>
        <v>5.6588424210451675</v>
      </c>
      <c r="L40" s="46">
        <f t="shared" si="12"/>
        <v>18.037560217081474</v>
      </c>
      <c r="M40" s="46">
        <f t="shared" si="13"/>
        <v>56.588424210451677</v>
      </c>
      <c r="N40" s="46">
        <f t="shared" si="14"/>
        <v>180.37560217081474</v>
      </c>
      <c r="P40" s="54"/>
      <c r="Q40" s="54"/>
    </row>
    <row r="41" spans="1:17">
      <c r="A41" t="s">
        <v>72</v>
      </c>
      <c r="B41" s="26">
        <v>39204</v>
      </c>
      <c r="C41" s="9">
        <v>0.10208333333333335</v>
      </c>
      <c r="D41">
        <v>20</v>
      </c>
      <c r="E41">
        <v>30</v>
      </c>
      <c r="F41">
        <v>60</v>
      </c>
      <c r="G41">
        <v>211</v>
      </c>
      <c r="H41" s="15">
        <f t="shared" si="10"/>
        <v>2.8274333882308138</v>
      </c>
      <c r="I41" s="54">
        <v>27</v>
      </c>
      <c r="J41" s="54">
        <v>79</v>
      </c>
      <c r="K41" s="46">
        <f t="shared" si="11"/>
        <v>9.5492965855137211</v>
      </c>
      <c r="L41" s="46">
        <f t="shared" si="12"/>
        <v>27.940534453910516</v>
      </c>
      <c r="M41" s="46">
        <f t="shared" si="13"/>
        <v>95.492965855137214</v>
      </c>
      <c r="N41" s="46">
        <f t="shared" si="14"/>
        <v>279.40534453910516</v>
      </c>
    </row>
    <row r="42" spans="1:17">
      <c r="A42" t="s">
        <v>72</v>
      </c>
      <c r="B42" s="26">
        <v>39204</v>
      </c>
      <c r="C42" s="9">
        <v>0.10486111111111111</v>
      </c>
      <c r="D42">
        <v>10</v>
      </c>
      <c r="E42">
        <v>20</v>
      </c>
      <c r="F42">
        <v>60</v>
      </c>
      <c r="G42">
        <v>211</v>
      </c>
      <c r="H42" s="15">
        <f t="shared" si="10"/>
        <v>2.8274333882308138</v>
      </c>
      <c r="I42" s="54">
        <v>52</v>
      </c>
      <c r="J42" s="54">
        <v>63</v>
      </c>
      <c r="K42" s="46">
        <f t="shared" si="11"/>
        <v>18.391237868396797</v>
      </c>
      <c r="L42" s="46">
        <f t="shared" si="12"/>
        <v>22.281692032865347</v>
      </c>
      <c r="M42" s="46">
        <f t="shared" si="13"/>
        <v>183.91237868396797</v>
      </c>
      <c r="N42" s="46">
        <f t="shared" si="14"/>
        <v>222.81692032865348</v>
      </c>
    </row>
    <row r="43" spans="1:17">
      <c r="A43" t="s">
        <v>72</v>
      </c>
      <c r="B43" s="26">
        <v>39204</v>
      </c>
      <c r="C43" s="9">
        <v>0.10833333333333334</v>
      </c>
      <c r="D43">
        <v>0</v>
      </c>
      <c r="E43">
        <v>10</v>
      </c>
      <c r="F43">
        <v>60</v>
      </c>
      <c r="G43">
        <v>211</v>
      </c>
      <c r="H43" s="15">
        <f t="shared" si="10"/>
        <v>2.8274333882308138</v>
      </c>
      <c r="I43" s="54">
        <v>3</v>
      </c>
      <c r="J43" s="54">
        <v>0</v>
      </c>
      <c r="K43" s="46">
        <f t="shared" si="11"/>
        <v>1.0610329539459689</v>
      </c>
      <c r="L43" s="46">
        <f t="shared" si="12"/>
        <v>0</v>
      </c>
      <c r="M43" s="46">
        <f t="shared" si="13"/>
        <v>10.610329539459688</v>
      </c>
      <c r="N43" s="46">
        <f t="shared" si="14"/>
        <v>0</v>
      </c>
    </row>
    <row r="44" spans="1:17">
      <c r="A44" t="s">
        <v>73</v>
      </c>
      <c r="B44" s="26">
        <v>39204</v>
      </c>
      <c r="C44" s="9">
        <v>0.11180555555555556</v>
      </c>
      <c r="D44">
        <v>30</v>
      </c>
      <c r="E44">
        <v>40</v>
      </c>
      <c r="F44">
        <v>60</v>
      </c>
      <c r="G44">
        <v>211</v>
      </c>
      <c r="H44" s="15">
        <f t="shared" si="5"/>
        <v>2.8274333882308138</v>
      </c>
      <c r="K44" s="46"/>
      <c r="L44" s="46"/>
      <c r="M44" s="46"/>
      <c r="N44" s="46"/>
    </row>
    <row r="45" spans="1:17">
      <c r="A45" t="s">
        <v>73</v>
      </c>
      <c r="B45" s="26">
        <v>39204</v>
      </c>
      <c r="C45" s="9">
        <v>0.11666666666666665</v>
      </c>
      <c r="D45">
        <v>20</v>
      </c>
      <c r="E45">
        <v>30</v>
      </c>
      <c r="F45">
        <v>60</v>
      </c>
      <c r="G45">
        <v>211</v>
      </c>
      <c r="H45" s="15">
        <f t="shared" si="5"/>
        <v>2.8274333882308138</v>
      </c>
      <c r="K45" s="46"/>
      <c r="L45" s="46"/>
      <c r="M45" s="46"/>
      <c r="N45" s="46"/>
    </row>
    <row r="46" spans="1:17">
      <c r="A46" t="s">
        <v>73</v>
      </c>
      <c r="B46" s="26">
        <v>39204</v>
      </c>
      <c r="C46" s="9">
        <v>0.11944444444444445</v>
      </c>
      <c r="D46">
        <v>10</v>
      </c>
      <c r="E46">
        <v>20</v>
      </c>
      <c r="F46">
        <v>60</v>
      </c>
      <c r="G46">
        <v>211</v>
      </c>
      <c r="H46" s="15">
        <f t="shared" si="5"/>
        <v>2.8274333882308138</v>
      </c>
      <c r="K46" s="46"/>
      <c r="L46" s="46"/>
      <c r="M46" s="46"/>
      <c r="N46" s="46"/>
    </row>
    <row r="47" spans="1:17">
      <c r="A47" t="s">
        <v>73</v>
      </c>
      <c r="B47" s="26">
        <v>39204</v>
      </c>
      <c r="C47" s="9">
        <v>0.12222222222222223</v>
      </c>
      <c r="D47">
        <v>0</v>
      </c>
      <c r="E47">
        <v>10</v>
      </c>
      <c r="F47">
        <v>60</v>
      </c>
      <c r="G47">
        <v>211</v>
      </c>
      <c r="H47" s="15">
        <f t="shared" si="5"/>
        <v>2.8274333882308138</v>
      </c>
      <c r="K47" s="46"/>
      <c r="L47" s="46"/>
      <c r="M47" s="46"/>
      <c r="N47" s="46"/>
    </row>
    <row r="48" spans="1:17">
      <c r="A48" t="s">
        <v>74</v>
      </c>
      <c r="B48" s="26">
        <v>39205</v>
      </c>
      <c r="C48" s="9">
        <v>0.49236111111111108</v>
      </c>
      <c r="D48">
        <v>80</v>
      </c>
      <c r="E48">
        <v>160</v>
      </c>
      <c r="F48">
        <v>60</v>
      </c>
      <c r="G48">
        <v>211</v>
      </c>
      <c r="H48" s="15">
        <f t="shared" ref="H48:H59" si="15">(E48-D48)*PI()*((F48/100)/2)^2</f>
        <v>22.61946710584651</v>
      </c>
      <c r="I48" s="54">
        <v>13</v>
      </c>
      <c r="J48" s="54">
        <v>232</v>
      </c>
      <c r="K48" s="46">
        <f t="shared" si="11"/>
        <v>0.57472618338739989</v>
      </c>
      <c r="L48" s="46">
        <f t="shared" si="12"/>
        <v>10.256651888144367</v>
      </c>
      <c r="M48" s="46">
        <f t="shared" si="13"/>
        <v>45.978094670991993</v>
      </c>
      <c r="N48" s="46">
        <f t="shared" si="14"/>
        <v>820.53215105154936</v>
      </c>
    </row>
    <row r="49" spans="1:17">
      <c r="A49" t="s">
        <v>74</v>
      </c>
      <c r="B49" s="26">
        <v>39205</v>
      </c>
      <c r="C49" s="9">
        <v>0.4993055555555555</v>
      </c>
      <c r="D49">
        <v>40</v>
      </c>
      <c r="E49">
        <v>80</v>
      </c>
      <c r="F49">
        <v>60</v>
      </c>
      <c r="G49">
        <v>211</v>
      </c>
      <c r="H49" s="15">
        <f t="shared" si="15"/>
        <v>11.309733552923255</v>
      </c>
      <c r="I49" s="54">
        <v>59</v>
      </c>
      <c r="J49" s="54">
        <v>49</v>
      </c>
      <c r="K49" s="46">
        <f t="shared" si="11"/>
        <v>5.216745356901014</v>
      </c>
      <c r="L49" s="46">
        <f t="shared" si="12"/>
        <v>4.3325512286127061</v>
      </c>
      <c r="M49" s="46">
        <f t="shared" si="13"/>
        <v>208.66981427604057</v>
      </c>
      <c r="N49" s="46">
        <f t="shared" si="14"/>
        <v>173.30204914450826</v>
      </c>
    </row>
    <row r="50" spans="1:17">
      <c r="A50" t="s">
        <v>74</v>
      </c>
      <c r="B50" s="26">
        <v>39205</v>
      </c>
      <c r="C50" s="9">
        <v>0.50347222222222221</v>
      </c>
      <c r="D50">
        <v>20</v>
      </c>
      <c r="E50">
        <v>40</v>
      </c>
      <c r="F50">
        <v>60</v>
      </c>
      <c r="G50">
        <v>211</v>
      </c>
      <c r="H50" s="15">
        <f t="shared" si="15"/>
        <v>5.6548667764616276</v>
      </c>
      <c r="I50" s="54">
        <v>10</v>
      </c>
      <c r="J50" s="54">
        <v>0</v>
      </c>
      <c r="K50" s="46">
        <f t="shared" si="11"/>
        <v>1.7683882565766149</v>
      </c>
      <c r="L50" s="46">
        <f t="shared" si="12"/>
        <v>0</v>
      </c>
      <c r="M50" s="46">
        <f t="shared" si="13"/>
        <v>35.367765131532295</v>
      </c>
      <c r="N50" s="46">
        <f t="shared" si="14"/>
        <v>0</v>
      </c>
      <c r="P50" s="54"/>
      <c r="Q50" s="54"/>
    </row>
    <row r="51" spans="1:17">
      <c r="A51" t="s">
        <v>74</v>
      </c>
      <c r="B51" s="26">
        <v>39205</v>
      </c>
      <c r="C51" s="9">
        <v>0.50694444444444442</v>
      </c>
      <c r="D51">
        <v>0</v>
      </c>
      <c r="E51">
        <v>20</v>
      </c>
      <c r="F51">
        <v>60</v>
      </c>
      <c r="G51">
        <v>211</v>
      </c>
      <c r="H51" s="15">
        <f t="shared" si="15"/>
        <v>5.6548667764616276</v>
      </c>
      <c r="I51" s="54">
        <v>0</v>
      </c>
      <c r="J51" s="54">
        <v>0</v>
      </c>
      <c r="K51" s="46">
        <f t="shared" si="11"/>
        <v>0</v>
      </c>
      <c r="L51" s="46">
        <f t="shared" si="12"/>
        <v>0</v>
      </c>
      <c r="M51" s="46">
        <f t="shared" si="13"/>
        <v>0</v>
      </c>
      <c r="N51" s="46">
        <f t="shared" si="14"/>
        <v>0</v>
      </c>
      <c r="P51" s="54"/>
      <c r="Q51" s="54"/>
    </row>
    <row r="52" spans="1:17">
      <c r="A52" t="s">
        <v>75</v>
      </c>
      <c r="B52" s="26">
        <v>39205</v>
      </c>
      <c r="C52" s="9">
        <v>0.51388888888888895</v>
      </c>
      <c r="D52">
        <v>80</v>
      </c>
      <c r="E52">
        <v>160</v>
      </c>
      <c r="F52">
        <v>60</v>
      </c>
      <c r="G52">
        <v>211</v>
      </c>
      <c r="H52" s="15">
        <f t="shared" si="15"/>
        <v>22.61946710584651</v>
      </c>
      <c r="I52" s="54">
        <v>4</v>
      </c>
      <c r="J52" s="54">
        <v>190</v>
      </c>
      <c r="K52" s="46">
        <f t="shared" si="11"/>
        <v>0.17683882565766149</v>
      </c>
      <c r="L52" s="46">
        <f t="shared" si="12"/>
        <v>8.3998442187389202</v>
      </c>
      <c r="M52" s="46">
        <f t="shared" si="13"/>
        <v>14.147106052612919</v>
      </c>
      <c r="N52" s="46">
        <f t="shared" si="14"/>
        <v>671.98753749911361</v>
      </c>
      <c r="P52" s="54"/>
      <c r="Q52" s="54"/>
    </row>
    <row r="53" spans="1:17">
      <c r="A53" t="s">
        <v>75</v>
      </c>
      <c r="B53" s="26">
        <v>39205</v>
      </c>
      <c r="C53" s="9">
        <v>0.52013888888888882</v>
      </c>
      <c r="D53">
        <v>40</v>
      </c>
      <c r="E53">
        <v>80</v>
      </c>
      <c r="F53">
        <v>60</v>
      </c>
      <c r="G53">
        <v>211</v>
      </c>
      <c r="H53" s="15">
        <f t="shared" si="15"/>
        <v>11.309733552923255</v>
      </c>
      <c r="I53" s="54">
        <v>34</v>
      </c>
      <c r="J53" s="54">
        <v>51</v>
      </c>
      <c r="K53" s="46">
        <f t="shared" si="11"/>
        <v>3.0062600361802452</v>
      </c>
      <c r="L53" s="46">
        <f t="shared" si="12"/>
        <v>4.5093900542703684</v>
      </c>
      <c r="M53" s="46">
        <f t="shared" si="13"/>
        <v>120.25040144720981</v>
      </c>
      <c r="N53" s="46">
        <f t="shared" si="14"/>
        <v>180.37560217081474</v>
      </c>
      <c r="P53" s="54"/>
      <c r="Q53" s="54"/>
    </row>
    <row r="54" spans="1:17">
      <c r="A54" t="s">
        <v>75</v>
      </c>
      <c r="B54" s="26">
        <v>39205</v>
      </c>
      <c r="C54" s="9">
        <v>0.52430555555555558</v>
      </c>
      <c r="D54">
        <v>20</v>
      </c>
      <c r="E54">
        <v>40</v>
      </c>
      <c r="F54">
        <v>60</v>
      </c>
      <c r="G54">
        <v>211</v>
      </c>
      <c r="H54" s="15">
        <f t="shared" si="15"/>
        <v>5.6548667764616276</v>
      </c>
      <c r="I54" s="54">
        <v>10</v>
      </c>
      <c r="J54" s="54">
        <v>0</v>
      </c>
      <c r="K54" s="46">
        <f t="shared" si="11"/>
        <v>1.7683882565766149</v>
      </c>
      <c r="L54" s="46">
        <f t="shared" si="12"/>
        <v>0</v>
      </c>
      <c r="M54" s="46">
        <f t="shared" si="13"/>
        <v>35.367765131532295</v>
      </c>
      <c r="N54" s="46">
        <f t="shared" si="14"/>
        <v>0</v>
      </c>
      <c r="P54" s="54"/>
      <c r="Q54" s="54"/>
    </row>
    <row r="55" spans="1:17">
      <c r="A55" t="s">
        <v>75</v>
      </c>
      <c r="B55" s="26">
        <v>39205</v>
      </c>
      <c r="C55" s="9">
        <v>0.52708333333333335</v>
      </c>
      <c r="D55">
        <v>0</v>
      </c>
      <c r="E55">
        <v>20</v>
      </c>
      <c r="F55">
        <v>60</v>
      </c>
      <c r="G55">
        <v>211</v>
      </c>
      <c r="H55" s="15">
        <f t="shared" si="15"/>
        <v>5.6548667764616276</v>
      </c>
      <c r="I55" s="54">
        <v>0</v>
      </c>
      <c r="J55" s="54">
        <v>0</v>
      </c>
      <c r="K55" s="46">
        <f t="shared" si="11"/>
        <v>0</v>
      </c>
      <c r="L55" s="46">
        <f t="shared" si="12"/>
        <v>0</v>
      </c>
      <c r="M55" s="46">
        <f t="shared" si="13"/>
        <v>0</v>
      </c>
      <c r="N55" s="46">
        <f t="shared" si="14"/>
        <v>0</v>
      </c>
      <c r="P55" s="54"/>
      <c r="Q55" s="54"/>
    </row>
    <row r="56" spans="1:17">
      <c r="A56" t="s">
        <v>76</v>
      </c>
      <c r="B56" s="26">
        <v>39205</v>
      </c>
      <c r="C56" s="9">
        <v>0.53402777777777777</v>
      </c>
      <c r="D56">
        <v>80</v>
      </c>
      <c r="E56">
        <v>160</v>
      </c>
      <c r="F56">
        <v>60</v>
      </c>
      <c r="G56">
        <v>211</v>
      </c>
      <c r="H56" s="15">
        <f t="shared" si="15"/>
        <v>22.61946710584651</v>
      </c>
      <c r="K56" s="46"/>
      <c r="L56" s="46"/>
      <c r="M56" s="46"/>
      <c r="N56" s="46"/>
      <c r="P56" s="54"/>
      <c r="Q56" s="54"/>
    </row>
    <row r="57" spans="1:17">
      <c r="A57" t="s">
        <v>76</v>
      </c>
      <c r="B57" s="26">
        <v>39205</v>
      </c>
      <c r="C57" s="9">
        <v>0.54027777777777775</v>
      </c>
      <c r="D57">
        <v>40</v>
      </c>
      <c r="E57">
        <v>80</v>
      </c>
      <c r="F57">
        <v>60</v>
      </c>
      <c r="G57">
        <v>211</v>
      </c>
      <c r="H57" s="15">
        <f t="shared" si="15"/>
        <v>11.309733552923255</v>
      </c>
      <c r="K57" s="46"/>
      <c r="L57" s="46"/>
      <c r="M57" s="46"/>
      <c r="N57" s="46"/>
      <c r="P57" s="54"/>
      <c r="Q57" s="54"/>
    </row>
    <row r="58" spans="1:17">
      <c r="A58" t="s">
        <v>76</v>
      </c>
      <c r="B58" s="26">
        <v>39205</v>
      </c>
      <c r="C58" s="9">
        <v>0.5444444444444444</v>
      </c>
      <c r="D58">
        <v>20</v>
      </c>
      <c r="E58">
        <v>40</v>
      </c>
      <c r="F58">
        <v>60</v>
      </c>
      <c r="G58">
        <v>211</v>
      </c>
      <c r="H58" s="15">
        <f t="shared" si="15"/>
        <v>5.6548667764616276</v>
      </c>
      <c r="K58" s="46"/>
      <c r="L58" s="46"/>
      <c r="M58" s="46"/>
      <c r="N58" s="46"/>
    </row>
    <row r="59" spans="1:17">
      <c r="A59" t="s">
        <v>76</v>
      </c>
      <c r="B59" s="26">
        <v>39205</v>
      </c>
      <c r="C59" s="9">
        <v>0.54791666666666672</v>
      </c>
      <c r="D59">
        <v>0</v>
      </c>
      <c r="E59">
        <v>20</v>
      </c>
      <c r="F59">
        <v>60</v>
      </c>
      <c r="G59">
        <v>211</v>
      </c>
      <c r="H59" s="15">
        <f t="shared" si="15"/>
        <v>5.6548667764616276</v>
      </c>
      <c r="K59" s="46"/>
      <c r="L59" s="46"/>
      <c r="M59" s="46"/>
      <c r="N59" s="46"/>
    </row>
  </sheetData>
  <mergeCells count="3">
    <mergeCell ref="I3:J3"/>
    <mergeCell ref="K3:L3"/>
    <mergeCell ref="M3:N3"/>
  </mergeCells>
  <phoneticPr fontId="6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N53"/>
  <sheetViews>
    <sheetView workbookViewId="0">
      <selection activeCell="H5" sqref="H5"/>
    </sheetView>
  </sheetViews>
  <sheetFormatPr defaultColWidth="8.85546875" defaultRowHeight="12.75"/>
  <cols>
    <col min="11" max="14" width="8.85546875" style="46"/>
  </cols>
  <sheetData>
    <row r="1" spans="1:14">
      <c r="A1" s="45" t="s">
        <v>60</v>
      </c>
      <c r="D1" s="1"/>
      <c r="E1" s="1"/>
      <c r="H1" s="15"/>
    </row>
    <row r="2" spans="1:14">
      <c r="A2" s="19" t="s">
        <v>98</v>
      </c>
      <c r="D2" s="1"/>
      <c r="E2" s="1"/>
      <c r="H2" s="15"/>
    </row>
    <row r="3" spans="1:14">
      <c r="D3" s="1"/>
      <c r="E3" s="1"/>
      <c r="H3" s="15"/>
      <c r="I3" s="76" t="s">
        <v>13</v>
      </c>
      <c r="J3" s="76"/>
      <c r="K3" s="77" t="s">
        <v>14</v>
      </c>
      <c r="L3" s="77"/>
      <c r="M3" s="77" t="s">
        <v>15</v>
      </c>
      <c r="N3" s="77"/>
    </row>
    <row r="4" spans="1:14" s="50" customFormat="1" ht="39" thickBot="1">
      <c r="A4" s="47" t="s">
        <v>64</v>
      </c>
      <c r="B4" s="47" t="s">
        <v>65</v>
      </c>
      <c r="C4" s="47" t="s">
        <v>49</v>
      </c>
      <c r="D4" s="48" t="s">
        <v>66</v>
      </c>
      <c r="E4" s="48" t="s">
        <v>67</v>
      </c>
      <c r="F4" s="47" t="s">
        <v>68</v>
      </c>
      <c r="G4" s="47" t="s">
        <v>69</v>
      </c>
      <c r="H4" s="49" t="s">
        <v>70</v>
      </c>
      <c r="I4" s="25" t="s">
        <v>16</v>
      </c>
      <c r="J4" s="25" t="s">
        <v>17</v>
      </c>
      <c r="K4" s="25" t="s">
        <v>16</v>
      </c>
      <c r="L4" s="25" t="s">
        <v>17</v>
      </c>
      <c r="M4" s="25" t="s">
        <v>16</v>
      </c>
      <c r="N4" s="25" t="s">
        <v>17</v>
      </c>
    </row>
    <row r="5" spans="1:14">
      <c r="A5" t="s">
        <v>99</v>
      </c>
      <c r="B5" s="26">
        <v>39295</v>
      </c>
      <c r="C5" s="9">
        <v>0.8534722222222223</v>
      </c>
      <c r="D5" s="1">
        <v>0</v>
      </c>
      <c r="E5" s="1">
        <v>18</v>
      </c>
      <c r="F5">
        <v>60</v>
      </c>
      <c r="G5">
        <v>211</v>
      </c>
      <c r="H5" s="15">
        <f>(E5-D5)*PI()*((F5/100)/2)^2</f>
        <v>5.0893800988154645</v>
      </c>
      <c r="I5">
        <v>435</v>
      </c>
      <c r="J5">
        <v>255</v>
      </c>
      <c r="K5" s="46">
        <f>I5/H5</f>
        <v>85.472099067869721</v>
      </c>
      <c r="L5" s="46">
        <f>J5/H5</f>
        <v>50.104333936337426</v>
      </c>
      <c r="M5" s="46">
        <f>I5/H5*(E5-D5)</f>
        <v>1538.497783221655</v>
      </c>
      <c r="N5" s="46">
        <f>J5/H5*(E5-D5)</f>
        <v>901.87801085407364</v>
      </c>
    </row>
    <row r="6" spans="1:14">
      <c r="A6" t="s">
        <v>99</v>
      </c>
      <c r="B6" s="26">
        <v>39295</v>
      </c>
      <c r="C6" s="9">
        <v>0.85763888888888884</v>
      </c>
      <c r="D6" s="1">
        <v>18</v>
      </c>
      <c r="E6" s="1">
        <v>40</v>
      </c>
      <c r="F6">
        <v>60</v>
      </c>
      <c r="G6">
        <v>211</v>
      </c>
      <c r="H6" s="15">
        <f t="shared" ref="H6:H53" si="0">(E6-D6)*PI()*((F6/100)/2)^2</f>
        <v>6.2203534541077898</v>
      </c>
      <c r="I6">
        <v>83</v>
      </c>
      <c r="J6">
        <v>1</v>
      </c>
      <c r="K6" s="46">
        <f t="shared" ref="K6:K53" si="1">I6/H6</f>
        <v>13.343293208714458</v>
      </c>
      <c r="L6" s="46">
        <f t="shared" ref="L6:L53" si="2">J6/H6</f>
        <v>0.16076256877969228</v>
      </c>
      <c r="M6" s="46">
        <f t="shared" ref="M6:M53" si="3">I6/H6*(E6-D6)</f>
        <v>293.55245059171807</v>
      </c>
      <c r="N6" s="46">
        <f t="shared" ref="N6:N53" si="4">J6/H6*(E6-D6)</f>
        <v>3.5367765131532303</v>
      </c>
    </row>
    <row r="7" spans="1:14">
      <c r="A7" t="s">
        <v>100</v>
      </c>
      <c r="B7" s="26">
        <v>39295</v>
      </c>
      <c r="C7" s="9">
        <v>0.90069444444444446</v>
      </c>
      <c r="D7" s="1">
        <v>0</v>
      </c>
      <c r="E7" s="1">
        <v>18</v>
      </c>
      <c r="F7">
        <v>60</v>
      </c>
      <c r="G7">
        <v>211</v>
      </c>
      <c r="H7" s="15">
        <f t="shared" si="0"/>
        <v>5.0893800988154645</v>
      </c>
      <c r="I7">
        <v>125</v>
      </c>
      <c r="J7">
        <v>495</v>
      </c>
      <c r="K7" s="46">
        <f t="shared" si="1"/>
        <v>24.560948008008541</v>
      </c>
      <c r="L7" s="46">
        <f t="shared" si="2"/>
        <v>97.261354111713828</v>
      </c>
      <c r="M7" s="46">
        <f t="shared" si="3"/>
        <v>442.09706414415376</v>
      </c>
      <c r="N7" s="46">
        <f t="shared" si="4"/>
        <v>1750.7043740108488</v>
      </c>
    </row>
    <row r="8" spans="1:14">
      <c r="A8" t="s">
        <v>100</v>
      </c>
      <c r="B8" s="26">
        <v>39295</v>
      </c>
      <c r="C8" s="9">
        <v>0.90486111111111101</v>
      </c>
      <c r="D8" s="1">
        <v>18</v>
      </c>
      <c r="E8" s="1">
        <v>40</v>
      </c>
      <c r="F8">
        <v>60</v>
      </c>
      <c r="G8">
        <v>211</v>
      </c>
      <c r="H8" s="15">
        <f t="shared" si="0"/>
        <v>6.2203534541077898</v>
      </c>
      <c r="I8">
        <v>596</v>
      </c>
      <c r="J8">
        <v>615</v>
      </c>
      <c r="K8" s="46">
        <f t="shared" si="1"/>
        <v>95.814490992696591</v>
      </c>
      <c r="L8" s="46">
        <f t="shared" si="2"/>
        <v>98.868979799510754</v>
      </c>
      <c r="M8" s="46">
        <f t="shared" si="3"/>
        <v>2107.9188018393252</v>
      </c>
      <c r="N8" s="46">
        <f t="shared" si="4"/>
        <v>2175.1175555892364</v>
      </c>
    </row>
    <row r="9" spans="1:14">
      <c r="A9" t="s">
        <v>101</v>
      </c>
      <c r="B9" s="26">
        <v>39295</v>
      </c>
      <c r="C9" s="9">
        <v>0.94097222222222221</v>
      </c>
      <c r="D9" s="1">
        <v>0</v>
      </c>
      <c r="E9" s="1">
        <v>18</v>
      </c>
      <c r="F9">
        <v>60</v>
      </c>
      <c r="G9">
        <v>211</v>
      </c>
      <c r="H9" s="15">
        <f t="shared" si="0"/>
        <v>5.0893800988154645</v>
      </c>
      <c r="I9">
        <v>86</v>
      </c>
      <c r="J9">
        <v>212</v>
      </c>
      <c r="K9" s="46">
        <f t="shared" si="1"/>
        <v>16.897932229509877</v>
      </c>
      <c r="L9" s="46">
        <f t="shared" si="2"/>
        <v>41.655367821582487</v>
      </c>
      <c r="M9" s="46">
        <f t="shared" si="3"/>
        <v>304.16278013117778</v>
      </c>
      <c r="N9" s="46">
        <f t="shared" si="4"/>
        <v>749.7966207884848</v>
      </c>
    </row>
    <row r="10" spans="1:14">
      <c r="A10" t="s">
        <v>101</v>
      </c>
      <c r="B10" s="26">
        <v>39295</v>
      </c>
      <c r="C10" s="9">
        <v>0.94652777777777775</v>
      </c>
      <c r="D10" s="1">
        <v>18</v>
      </c>
      <c r="E10" s="1">
        <v>40</v>
      </c>
      <c r="F10">
        <v>60</v>
      </c>
      <c r="G10">
        <v>211</v>
      </c>
      <c r="H10" s="15">
        <f t="shared" si="0"/>
        <v>6.2203534541077898</v>
      </c>
      <c r="I10">
        <v>715</v>
      </c>
      <c r="J10">
        <v>1067</v>
      </c>
      <c r="K10" s="46">
        <f t="shared" si="1"/>
        <v>114.94523667747998</v>
      </c>
      <c r="L10" s="46">
        <f t="shared" si="2"/>
        <v>171.53366088793166</v>
      </c>
      <c r="M10" s="46">
        <f t="shared" si="3"/>
        <v>2528.7952069045596</v>
      </c>
      <c r="N10" s="46">
        <f t="shared" si="4"/>
        <v>3773.7405395344967</v>
      </c>
    </row>
    <row r="11" spans="1:14">
      <c r="A11" t="s">
        <v>102</v>
      </c>
      <c r="B11" s="26">
        <v>39295</v>
      </c>
      <c r="C11" s="9">
        <v>0.98333333333333339</v>
      </c>
      <c r="D11" s="1">
        <v>0</v>
      </c>
      <c r="E11" s="1">
        <v>18</v>
      </c>
      <c r="F11">
        <v>60</v>
      </c>
      <c r="G11">
        <v>211</v>
      </c>
      <c r="H11" s="15">
        <f t="shared" si="0"/>
        <v>5.0893800988154645</v>
      </c>
      <c r="I11">
        <v>187</v>
      </c>
      <c r="J11">
        <v>600</v>
      </c>
      <c r="K11" s="46">
        <f t="shared" si="1"/>
        <v>36.743178219980777</v>
      </c>
      <c r="L11" s="46">
        <f t="shared" si="2"/>
        <v>117.89255043844101</v>
      </c>
      <c r="M11" s="46">
        <f t="shared" si="3"/>
        <v>661.37720795965402</v>
      </c>
      <c r="N11" s="46">
        <f t="shared" si="4"/>
        <v>2122.065907891938</v>
      </c>
    </row>
    <row r="12" spans="1:14">
      <c r="A12" t="s">
        <v>102</v>
      </c>
      <c r="B12" s="26">
        <v>39295</v>
      </c>
      <c r="C12" s="9">
        <v>0.98819444444444438</v>
      </c>
      <c r="D12" s="1">
        <v>18</v>
      </c>
      <c r="E12" s="1">
        <v>40</v>
      </c>
      <c r="F12">
        <v>60</v>
      </c>
      <c r="G12">
        <v>211</v>
      </c>
      <c r="H12" s="15">
        <f t="shared" si="0"/>
        <v>6.2203534541077898</v>
      </c>
      <c r="I12">
        <v>374</v>
      </c>
      <c r="J12">
        <v>777</v>
      </c>
      <c r="K12" s="46">
        <f t="shared" si="1"/>
        <v>60.125200723604912</v>
      </c>
      <c r="L12" s="46">
        <f t="shared" si="2"/>
        <v>124.9125159418209</v>
      </c>
      <c r="M12" s="46">
        <f t="shared" si="3"/>
        <v>1322.754415919308</v>
      </c>
      <c r="N12" s="46">
        <f t="shared" si="4"/>
        <v>2748.0753507200598</v>
      </c>
    </row>
    <row r="13" spans="1:14">
      <c r="A13" t="s">
        <v>103</v>
      </c>
      <c r="B13" s="26">
        <v>39296</v>
      </c>
      <c r="C13" s="9">
        <v>2.361111111111111E-2</v>
      </c>
      <c r="D13" s="1">
        <v>0</v>
      </c>
      <c r="E13" s="1">
        <v>18</v>
      </c>
      <c r="F13">
        <v>60</v>
      </c>
      <c r="G13">
        <v>211</v>
      </c>
      <c r="H13" s="15">
        <f t="shared" si="0"/>
        <v>5.0893800988154645</v>
      </c>
      <c r="I13">
        <v>172</v>
      </c>
      <c r="J13">
        <v>616</v>
      </c>
      <c r="K13" s="46">
        <f t="shared" si="1"/>
        <v>33.795864459019754</v>
      </c>
      <c r="L13" s="46">
        <f t="shared" si="2"/>
        <v>121.0363517834661</v>
      </c>
      <c r="M13" s="46">
        <f t="shared" si="3"/>
        <v>608.32556026235557</v>
      </c>
      <c r="N13" s="46">
        <f t="shared" si="4"/>
        <v>2178.6543321023901</v>
      </c>
    </row>
    <row r="14" spans="1:14">
      <c r="A14" t="s">
        <v>103</v>
      </c>
      <c r="B14" s="26">
        <v>39296</v>
      </c>
      <c r="C14" s="9">
        <v>2.8472222222222222E-2</v>
      </c>
      <c r="D14" s="1">
        <v>18</v>
      </c>
      <c r="E14" s="1">
        <v>40</v>
      </c>
      <c r="F14">
        <v>60</v>
      </c>
      <c r="G14">
        <v>211</v>
      </c>
      <c r="H14" s="15">
        <f t="shared" si="0"/>
        <v>6.2203534541077898</v>
      </c>
      <c r="I14">
        <v>257</v>
      </c>
      <c r="J14">
        <v>632</v>
      </c>
      <c r="K14" s="46">
        <f t="shared" si="1"/>
        <v>41.315980176380918</v>
      </c>
      <c r="L14" s="46">
        <f t="shared" si="2"/>
        <v>101.60194346876553</v>
      </c>
      <c r="M14" s="46">
        <f t="shared" si="3"/>
        <v>908.95156388038026</v>
      </c>
      <c r="N14" s="46">
        <f t="shared" si="4"/>
        <v>2235.2427563128417</v>
      </c>
    </row>
    <row r="15" spans="1:14">
      <c r="A15" t="s">
        <v>104</v>
      </c>
      <c r="B15" s="26">
        <v>39296</v>
      </c>
      <c r="C15" s="9">
        <v>6.3888888888888884E-2</v>
      </c>
      <c r="D15" s="1">
        <v>0</v>
      </c>
      <c r="E15" s="1">
        <v>18</v>
      </c>
      <c r="F15">
        <v>60</v>
      </c>
      <c r="G15">
        <v>211</v>
      </c>
      <c r="H15" s="15">
        <f t="shared" si="0"/>
        <v>5.0893800988154645</v>
      </c>
      <c r="I15">
        <v>235</v>
      </c>
      <c r="J15">
        <v>634</v>
      </c>
      <c r="K15" s="46">
        <f t="shared" si="1"/>
        <v>46.174582255056059</v>
      </c>
      <c r="L15" s="46">
        <f t="shared" si="2"/>
        <v>124.57312829661933</v>
      </c>
      <c r="M15" s="46">
        <f t="shared" si="3"/>
        <v>831.14248059100908</v>
      </c>
      <c r="N15" s="46">
        <f t="shared" si="4"/>
        <v>2242.3163093391481</v>
      </c>
    </row>
    <row r="16" spans="1:14">
      <c r="A16" t="s">
        <v>104</v>
      </c>
      <c r="B16" s="26">
        <v>39296</v>
      </c>
      <c r="C16" s="9">
        <v>6.8750000000000006E-2</v>
      </c>
      <c r="D16" s="1">
        <v>18</v>
      </c>
      <c r="E16" s="1">
        <v>40</v>
      </c>
      <c r="F16">
        <v>60</v>
      </c>
      <c r="G16">
        <v>211</v>
      </c>
      <c r="H16" s="15">
        <f t="shared" si="0"/>
        <v>6.2203534541077898</v>
      </c>
      <c r="I16">
        <v>316</v>
      </c>
      <c r="J16">
        <v>277</v>
      </c>
      <c r="K16" s="46">
        <f t="shared" si="1"/>
        <v>50.800971734382763</v>
      </c>
      <c r="L16" s="46">
        <f t="shared" si="2"/>
        <v>44.531231551974763</v>
      </c>
      <c r="M16" s="46">
        <f t="shared" si="3"/>
        <v>1117.6213781564209</v>
      </c>
      <c r="N16" s="46">
        <f t="shared" si="4"/>
        <v>979.68709414344482</v>
      </c>
    </row>
    <row r="17" spans="1:14">
      <c r="A17" t="s">
        <v>105</v>
      </c>
      <c r="B17" s="26">
        <v>39296</v>
      </c>
      <c r="C17" s="9">
        <v>0.10486111111111111</v>
      </c>
      <c r="D17" s="1">
        <v>0</v>
      </c>
      <c r="E17" s="1">
        <v>18</v>
      </c>
      <c r="F17">
        <v>60</v>
      </c>
      <c r="G17">
        <v>211</v>
      </c>
      <c r="H17" s="15">
        <f t="shared" si="0"/>
        <v>5.0893800988154645</v>
      </c>
      <c r="I17">
        <v>303</v>
      </c>
      <c r="J17">
        <v>831</v>
      </c>
      <c r="K17" s="46">
        <f t="shared" si="1"/>
        <v>59.535737971412708</v>
      </c>
      <c r="L17" s="46">
        <f t="shared" si="2"/>
        <v>163.28118235724079</v>
      </c>
      <c r="M17" s="46">
        <f t="shared" si="3"/>
        <v>1071.6432834854288</v>
      </c>
      <c r="N17" s="46">
        <f t="shared" si="4"/>
        <v>2939.0612824303344</v>
      </c>
    </row>
    <row r="18" spans="1:14">
      <c r="A18" t="s">
        <v>105</v>
      </c>
      <c r="B18" s="26">
        <v>39296</v>
      </c>
      <c r="C18" s="9">
        <v>0.10902777777777778</v>
      </c>
      <c r="D18" s="1">
        <v>18</v>
      </c>
      <c r="E18" s="1">
        <v>40</v>
      </c>
      <c r="F18">
        <v>60</v>
      </c>
      <c r="G18">
        <v>211</v>
      </c>
      <c r="H18" s="15">
        <f t="shared" si="0"/>
        <v>6.2203534541077898</v>
      </c>
      <c r="I18">
        <v>174</v>
      </c>
      <c r="J18">
        <v>346</v>
      </c>
      <c r="K18" s="46">
        <f t="shared" si="1"/>
        <v>27.972686967666455</v>
      </c>
      <c r="L18" s="46">
        <f t="shared" si="2"/>
        <v>55.623848797773526</v>
      </c>
      <c r="M18" s="46">
        <f t="shared" si="3"/>
        <v>615.39911328866197</v>
      </c>
      <c r="N18" s="46">
        <f t="shared" si="4"/>
        <v>1223.7246735510175</v>
      </c>
    </row>
    <row r="19" spans="1:14">
      <c r="A19" t="s">
        <v>106</v>
      </c>
      <c r="B19" s="26">
        <v>39296</v>
      </c>
      <c r="C19" s="9">
        <v>0.14583333333333334</v>
      </c>
      <c r="D19" s="1">
        <v>0</v>
      </c>
      <c r="E19" s="1">
        <v>18</v>
      </c>
      <c r="F19">
        <v>60</v>
      </c>
      <c r="G19">
        <v>211</v>
      </c>
      <c r="H19" s="15">
        <f t="shared" si="0"/>
        <v>5.0893800988154645</v>
      </c>
      <c r="I19">
        <v>400</v>
      </c>
      <c r="J19">
        <v>364</v>
      </c>
      <c r="K19" s="46">
        <f t="shared" si="1"/>
        <v>78.595033625627337</v>
      </c>
      <c r="L19" s="46">
        <f t="shared" si="2"/>
        <v>71.521480599320881</v>
      </c>
      <c r="M19" s="46">
        <f t="shared" si="3"/>
        <v>1414.7106052612921</v>
      </c>
      <c r="N19" s="46">
        <f t="shared" si="4"/>
        <v>1287.3866507877758</v>
      </c>
    </row>
    <row r="20" spans="1:14">
      <c r="A20" t="s">
        <v>106</v>
      </c>
      <c r="B20" s="26">
        <v>39296</v>
      </c>
      <c r="C20" s="9">
        <v>0.15069444444444444</v>
      </c>
      <c r="D20" s="1">
        <v>18</v>
      </c>
      <c r="E20" s="1">
        <v>40</v>
      </c>
      <c r="F20">
        <v>60</v>
      </c>
      <c r="G20">
        <v>211</v>
      </c>
      <c r="H20" s="15">
        <f t="shared" si="0"/>
        <v>6.2203534541077898</v>
      </c>
      <c r="I20">
        <v>199</v>
      </c>
      <c r="J20">
        <v>289</v>
      </c>
      <c r="K20" s="46">
        <f t="shared" si="1"/>
        <v>31.991751187158762</v>
      </c>
      <c r="L20" s="46">
        <f t="shared" si="2"/>
        <v>46.460382377331065</v>
      </c>
      <c r="M20" s="46">
        <f t="shared" si="3"/>
        <v>703.81852611749275</v>
      </c>
      <c r="N20" s="46">
        <f t="shared" si="4"/>
        <v>1022.1284123012834</v>
      </c>
    </row>
    <row r="21" spans="1:14">
      <c r="A21" t="s">
        <v>107</v>
      </c>
      <c r="B21" s="26">
        <v>39296</v>
      </c>
      <c r="C21" s="9">
        <v>0.18402777777777779</v>
      </c>
      <c r="D21" s="1">
        <v>0</v>
      </c>
      <c r="E21" s="1">
        <v>18</v>
      </c>
      <c r="F21">
        <v>60</v>
      </c>
      <c r="G21">
        <v>211</v>
      </c>
      <c r="H21" s="15">
        <f t="shared" si="0"/>
        <v>5.0893800988154645</v>
      </c>
      <c r="I21">
        <v>219</v>
      </c>
      <c r="J21">
        <v>356</v>
      </c>
      <c r="K21" s="46">
        <f t="shared" si="1"/>
        <v>43.030780910030963</v>
      </c>
      <c r="L21" s="46">
        <f t="shared" si="2"/>
        <v>69.949579926808326</v>
      </c>
      <c r="M21" s="46">
        <f t="shared" si="3"/>
        <v>774.55405638055731</v>
      </c>
      <c r="N21" s="46">
        <f t="shared" si="4"/>
        <v>1259.09243868255</v>
      </c>
    </row>
    <row r="22" spans="1:14">
      <c r="A22" t="s">
        <v>107</v>
      </c>
      <c r="B22" s="26">
        <v>39296</v>
      </c>
      <c r="C22" s="9">
        <v>0.19166666666666665</v>
      </c>
      <c r="D22" s="1">
        <v>18</v>
      </c>
      <c r="E22" s="1">
        <v>40</v>
      </c>
      <c r="F22">
        <v>60</v>
      </c>
      <c r="G22">
        <v>211</v>
      </c>
      <c r="H22" s="15">
        <f t="shared" si="0"/>
        <v>6.2203534541077898</v>
      </c>
      <c r="I22">
        <v>227</v>
      </c>
      <c r="J22">
        <v>268</v>
      </c>
      <c r="K22" s="46">
        <f t="shared" si="1"/>
        <v>36.493103112990148</v>
      </c>
      <c r="L22" s="46">
        <f t="shared" si="2"/>
        <v>43.084368432957532</v>
      </c>
      <c r="M22" s="46">
        <f t="shared" si="3"/>
        <v>802.84826848578325</v>
      </c>
      <c r="N22" s="46">
        <f t="shared" si="4"/>
        <v>947.85610552506569</v>
      </c>
    </row>
    <row r="23" spans="1:14">
      <c r="A23" t="s">
        <v>108</v>
      </c>
      <c r="B23" s="26">
        <v>39296</v>
      </c>
      <c r="C23" s="9">
        <v>0.22013888888888888</v>
      </c>
      <c r="D23" s="1">
        <v>0</v>
      </c>
      <c r="E23" s="1">
        <v>18</v>
      </c>
      <c r="F23">
        <v>60</v>
      </c>
      <c r="G23">
        <v>211</v>
      </c>
      <c r="H23" s="15">
        <f t="shared" si="0"/>
        <v>5.0893800988154645</v>
      </c>
      <c r="I23">
        <v>190</v>
      </c>
      <c r="J23">
        <v>156</v>
      </c>
      <c r="K23" s="46">
        <f t="shared" si="1"/>
        <v>37.332640972172982</v>
      </c>
      <c r="L23" s="46">
        <f t="shared" si="2"/>
        <v>30.652063113994661</v>
      </c>
      <c r="M23" s="46">
        <f t="shared" si="3"/>
        <v>671.98753749911361</v>
      </c>
      <c r="N23" s="46">
        <f t="shared" si="4"/>
        <v>551.73713605190392</v>
      </c>
    </row>
    <row r="24" spans="1:14">
      <c r="A24" t="s">
        <v>71</v>
      </c>
      <c r="B24" s="26">
        <v>39296</v>
      </c>
      <c r="C24" s="9">
        <v>0.59236111111111112</v>
      </c>
      <c r="D24" s="1">
        <v>80</v>
      </c>
      <c r="E24" s="1">
        <v>160</v>
      </c>
      <c r="F24">
        <v>60</v>
      </c>
      <c r="G24">
        <v>211</v>
      </c>
      <c r="H24" s="15">
        <f t="shared" si="0"/>
        <v>22.61946710584651</v>
      </c>
      <c r="I24">
        <v>465</v>
      </c>
      <c r="J24">
        <v>3827</v>
      </c>
      <c r="K24" s="46">
        <f t="shared" si="1"/>
        <v>20.557513482703147</v>
      </c>
      <c r="L24" s="46">
        <f t="shared" si="2"/>
        <v>169.19054644796762</v>
      </c>
      <c r="M24" s="46">
        <f t="shared" si="3"/>
        <v>1644.6010786162517</v>
      </c>
      <c r="N24" s="46">
        <f t="shared" si="4"/>
        <v>13535.243715837409</v>
      </c>
    </row>
    <row r="25" spans="1:14">
      <c r="A25" t="s">
        <v>71</v>
      </c>
      <c r="B25" s="26">
        <v>39296</v>
      </c>
      <c r="C25" s="9">
        <v>0.59513888888888888</v>
      </c>
      <c r="D25" s="1">
        <v>40</v>
      </c>
      <c r="E25" s="44">
        <v>80</v>
      </c>
      <c r="F25">
        <v>60</v>
      </c>
      <c r="G25">
        <v>211</v>
      </c>
      <c r="H25" s="15">
        <f t="shared" si="0"/>
        <v>11.309733552923255</v>
      </c>
      <c r="I25">
        <v>289</v>
      </c>
      <c r="J25">
        <v>79</v>
      </c>
      <c r="K25" s="46">
        <f t="shared" si="1"/>
        <v>25.553210307532087</v>
      </c>
      <c r="L25" s="46">
        <f t="shared" si="2"/>
        <v>6.985133613477629</v>
      </c>
      <c r="M25" s="46">
        <f t="shared" si="3"/>
        <v>1022.1284123012834</v>
      </c>
      <c r="N25" s="46">
        <f t="shared" si="4"/>
        <v>279.40534453910516</v>
      </c>
    </row>
    <row r="26" spans="1:14">
      <c r="A26" t="s">
        <v>71</v>
      </c>
      <c r="B26" s="26">
        <v>39296</v>
      </c>
      <c r="C26" s="9">
        <v>0.59930555555555554</v>
      </c>
      <c r="D26" s="1">
        <v>18</v>
      </c>
      <c r="E26" s="1">
        <v>40</v>
      </c>
      <c r="F26">
        <v>60</v>
      </c>
      <c r="G26">
        <v>211</v>
      </c>
      <c r="H26" s="15">
        <f t="shared" si="0"/>
        <v>6.2203534541077898</v>
      </c>
      <c r="I26">
        <v>57</v>
      </c>
      <c r="J26">
        <v>1</v>
      </c>
      <c r="K26" s="46">
        <f t="shared" si="1"/>
        <v>9.1634664204424592</v>
      </c>
      <c r="L26" s="46">
        <f t="shared" si="2"/>
        <v>0.16076256877969228</v>
      </c>
      <c r="M26" s="46">
        <f t="shared" si="3"/>
        <v>201.59626124973411</v>
      </c>
      <c r="N26" s="46">
        <f t="shared" si="4"/>
        <v>3.5367765131532303</v>
      </c>
    </row>
    <row r="27" spans="1:14">
      <c r="A27" t="s">
        <v>71</v>
      </c>
      <c r="B27" s="26">
        <v>39296</v>
      </c>
      <c r="C27" s="9">
        <v>0.6</v>
      </c>
      <c r="D27" s="1">
        <v>0</v>
      </c>
      <c r="E27" s="1">
        <v>18</v>
      </c>
      <c r="F27">
        <v>60</v>
      </c>
      <c r="G27">
        <v>211</v>
      </c>
      <c r="H27" s="15">
        <f t="shared" si="0"/>
        <v>5.0893800988154645</v>
      </c>
      <c r="I27">
        <v>5</v>
      </c>
      <c r="J27">
        <v>0</v>
      </c>
      <c r="K27" s="46">
        <f t="shared" si="1"/>
        <v>0.98243792032034172</v>
      </c>
      <c r="L27" s="46">
        <f t="shared" si="2"/>
        <v>0</v>
      </c>
      <c r="M27" s="46">
        <f t="shared" si="3"/>
        <v>17.683882565766151</v>
      </c>
      <c r="N27" s="46">
        <f t="shared" si="4"/>
        <v>0</v>
      </c>
    </row>
    <row r="28" spans="1:14">
      <c r="A28" t="s">
        <v>72</v>
      </c>
      <c r="B28" s="26">
        <v>39296</v>
      </c>
      <c r="C28" s="9">
        <v>0.60763888888888895</v>
      </c>
      <c r="D28" s="1">
        <v>80</v>
      </c>
      <c r="E28" s="1">
        <v>160</v>
      </c>
      <c r="F28">
        <v>60</v>
      </c>
      <c r="G28">
        <v>211</v>
      </c>
      <c r="H28" s="15">
        <f t="shared" si="0"/>
        <v>22.61946710584651</v>
      </c>
      <c r="I28">
        <v>397</v>
      </c>
      <c r="J28">
        <v>3936</v>
      </c>
      <c r="K28" s="46">
        <f t="shared" si="1"/>
        <v>17.551253446522903</v>
      </c>
      <c r="L28" s="46">
        <f t="shared" si="2"/>
        <v>174.00940444713891</v>
      </c>
      <c r="M28" s="46">
        <f t="shared" si="3"/>
        <v>1404.1002757218323</v>
      </c>
      <c r="N28" s="46">
        <f t="shared" si="4"/>
        <v>13920.752355771112</v>
      </c>
    </row>
    <row r="29" spans="1:14">
      <c r="A29" t="s">
        <v>72</v>
      </c>
      <c r="B29" s="26">
        <v>39296</v>
      </c>
      <c r="C29" s="9">
        <v>0.61319444444444449</v>
      </c>
      <c r="D29" s="1">
        <v>40</v>
      </c>
      <c r="E29" s="44">
        <v>80</v>
      </c>
      <c r="F29">
        <v>60</v>
      </c>
      <c r="G29">
        <v>211</v>
      </c>
      <c r="H29" s="15">
        <f t="shared" si="0"/>
        <v>11.309733552923255</v>
      </c>
      <c r="I29">
        <v>434</v>
      </c>
      <c r="J29">
        <v>171</v>
      </c>
      <c r="K29" s="46">
        <f t="shared" si="1"/>
        <v>38.374025167712546</v>
      </c>
      <c r="L29" s="46">
        <f t="shared" si="2"/>
        <v>15.119719593730057</v>
      </c>
      <c r="M29" s="46">
        <f t="shared" si="3"/>
        <v>1534.9610067085018</v>
      </c>
      <c r="N29" s="46">
        <f t="shared" si="4"/>
        <v>604.78878374920225</v>
      </c>
    </row>
    <row r="30" spans="1:14">
      <c r="A30" t="s">
        <v>72</v>
      </c>
      <c r="B30" s="26">
        <v>39296</v>
      </c>
      <c r="C30" s="9">
        <v>0.6166666666666667</v>
      </c>
      <c r="D30" s="1">
        <v>18</v>
      </c>
      <c r="E30" s="1">
        <v>40</v>
      </c>
      <c r="F30">
        <v>60</v>
      </c>
      <c r="G30">
        <v>211</v>
      </c>
      <c r="H30" s="15">
        <f t="shared" si="0"/>
        <v>6.2203534541077898</v>
      </c>
      <c r="I30">
        <v>73</v>
      </c>
      <c r="J30">
        <v>5</v>
      </c>
      <c r="K30" s="46">
        <f t="shared" si="1"/>
        <v>11.735667520917536</v>
      </c>
      <c r="L30" s="46">
        <f t="shared" si="2"/>
        <v>0.80381284389846142</v>
      </c>
      <c r="M30" s="46">
        <f t="shared" si="3"/>
        <v>258.18468546018579</v>
      </c>
      <c r="N30" s="46">
        <f t="shared" si="4"/>
        <v>17.683882565766151</v>
      </c>
    </row>
    <row r="31" spans="1:14">
      <c r="A31" t="s">
        <v>72</v>
      </c>
      <c r="B31" s="26">
        <v>39296</v>
      </c>
      <c r="C31" s="9">
        <v>0.63680555555555551</v>
      </c>
      <c r="D31" s="1">
        <v>0</v>
      </c>
      <c r="E31" s="1">
        <v>18</v>
      </c>
      <c r="F31">
        <v>60</v>
      </c>
      <c r="G31">
        <v>211</v>
      </c>
      <c r="H31" s="15">
        <f t="shared" si="0"/>
        <v>5.0893800988154645</v>
      </c>
      <c r="I31">
        <v>13</v>
      </c>
      <c r="J31">
        <v>0</v>
      </c>
      <c r="K31" s="46">
        <f t="shared" si="1"/>
        <v>2.5543385928328886</v>
      </c>
      <c r="L31" s="46">
        <f t="shared" si="2"/>
        <v>0</v>
      </c>
      <c r="M31" s="46">
        <f t="shared" si="3"/>
        <v>45.978094670991993</v>
      </c>
      <c r="N31" s="46">
        <f t="shared" si="4"/>
        <v>0</v>
      </c>
    </row>
    <row r="32" spans="1:14">
      <c r="A32" t="s">
        <v>73</v>
      </c>
      <c r="B32" s="26">
        <v>39296</v>
      </c>
      <c r="C32" s="9">
        <v>0.64861111111111114</v>
      </c>
      <c r="D32" s="1">
        <v>80</v>
      </c>
      <c r="E32" s="1">
        <v>170</v>
      </c>
      <c r="F32">
        <v>60</v>
      </c>
      <c r="G32">
        <v>211</v>
      </c>
      <c r="H32" s="15">
        <f t="shared" si="0"/>
        <v>25.446900494077322</v>
      </c>
    </row>
    <row r="33" spans="1:14">
      <c r="A33" t="s">
        <v>73</v>
      </c>
      <c r="B33" s="26">
        <v>39296</v>
      </c>
      <c r="C33" s="9">
        <v>0.65138888888888891</v>
      </c>
      <c r="D33" s="1">
        <v>40</v>
      </c>
      <c r="E33" s="44">
        <v>80</v>
      </c>
      <c r="F33">
        <v>60</v>
      </c>
      <c r="G33">
        <v>211</v>
      </c>
      <c r="H33" s="15">
        <f t="shared" si="0"/>
        <v>11.309733552923255</v>
      </c>
    </row>
    <row r="34" spans="1:14">
      <c r="A34" t="s">
        <v>73</v>
      </c>
      <c r="B34" s="26">
        <v>39296</v>
      </c>
      <c r="C34" s="9">
        <v>0.65555555555555556</v>
      </c>
      <c r="D34" s="1">
        <v>18</v>
      </c>
      <c r="E34" s="1">
        <v>40</v>
      </c>
      <c r="F34">
        <v>60</v>
      </c>
      <c r="G34">
        <v>211</v>
      </c>
      <c r="H34" s="15">
        <f t="shared" si="0"/>
        <v>6.2203534541077898</v>
      </c>
    </row>
    <row r="35" spans="1:14">
      <c r="A35" t="s">
        <v>73</v>
      </c>
      <c r="B35" s="26">
        <v>39296</v>
      </c>
      <c r="C35" s="9">
        <v>0.65833333333333333</v>
      </c>
      <c r="D35" s="1">
        <v>0</v>
      </c>
      <c r="E35" s="1">
        <v>18</v>
      </c>
      <c r="F35">
        <v>60</v>
      </c>
      <c r="G35">
        <v>211</v>
      </c>
      <c r="H35" s="15">
        <f t="shared" si="0"/>
        <v>5.0893800988154645</v>
      </c>
    </row>
    <row r="36" spans="1:14">
      <c r="A36" t="s">
        <v>109</v>
      </c>
      <c r="B36" s="26">
        <v>39296</v>
      </c>
      <c r="C36" s="9">
        <v>0.82638888888888884</v>
      </c>
      <c r="D36" s="1">
        <v>18</v>
      </c>
      <c r="E36" s="1">
        <v>40</v>
      </c>
      <c r="F36">
        <v>60</v>
      </c>
      <c r="G36">
        <v>211</v>
      </c>
      <c r="H36" s="15">
        <f t="shared" si="0"/>
        <v>6.2203534541077898</v>
      </c>
      <c r="I36">
        <v>562</v>
      </c>
      <c r="J36">
        <v>0</v>
      </c>
      <c r="K36" s="46">
        <f t="shared" si="1"/>
        <v>90.34856365418706</v>
      </c>
      <c r="L36" s="46">
        <f t="shared" si="2"/>
        <v>0</v>
      </c>
      <c r="M36" s="46">
        <f t="shared" si="3"/>
        <v>1987.6684003921152</v>
      </c>
      <c r="N36" s="46">
        <f t="shared" si="4"/>
        <v>0</v>
      </c>
    </row>
    <row r="37" spans="1:14">
      <c r="A37" t="s">
        <v>109</v>
      </c>
      <c r="B37" s="26">
        <v>39296</v>
      </c>
      <c r="C37" s="9">
        <v>0.82986111111111116</v>
      </c>
      <c r="D37" s="1">
        <v>0</v>
      </c>
      <c r="E37" s="1">
        <v>18</v>
      </c>
      <c r="F37">
        <v>60</v>
      </c>
      <c r="G37">
        <v>211</v>
      </c>
      <c r="H37" s="15">
        <f t="shared" si="0"/>
        <v>5.0893800988154645</v>
      </c>
      <c r="I37">
        <v>173</v>
      </c>
      <c r="J37">
        <v>0</v>
      </c>
      <c r="K37" s="46">
        <f t="shared" si="1"/>
        <v>33.99235204308382</v>
      </c>
      <c r="L37" s="46">
        <f t="shared" si="2"/>
        <v>0</v>
      </c>
      <c r="M37" s="46">
        <f t="shared" si="3"/>
        <v>611.86233677550877</v>
      </c>
      <c r="N37" s="46">
        <f t="shared" si="4"/>
        <v>0</v>
      </c>
    </row>
    <row r="38" spans="1:14">
      <c r="A38" t="s">
        <v>110</v>
      </c>
      <c r="B38" s="26">
        <v>39296</v>
      </c>
      <c r="C38" s="9">
        <v>0.84930555555555554</v>
      </c>
      <c r="D38" s="1">
        <v>18</v>
      </c>
      <c r="E38" s="1">
        <v>40</v>
      </c>
      <c r="F38">
        <v>60</v>
      </c>
      <c r="G38">
        <v>211</v>
      </c>
      <c r="H38" s="15">
        <f t="shared" si="0"/>
        <v>6.2203534541077898</v>
      </c>
      <c r="I38">
        <v>395</v>
      </c>
      <c r="J38">
        <v>184</v>
      </c>
      <c r="K38" s="46">
        <f t="shared" si="1"/>
        <v>63.501214667978452</v>
      </c>
      <c r="L38" s="46">
        <f t="shared" si="2"/>
        <v>29.580312655463381</v>
      </c>
      <c r="M38" s="46">
        <f t="shared" si="3"/>
        <v>1397.0267226955259</v>
      </c>
      <c r="N38" s="46">
        <f t="shared" si="4"/>
        <v>650.76687842019442</v>
      </c>
    </row>
    <row r="39" spans="1:14">
      <c r="A39" t="s">
        <v>110</v>
      </c>
      <c r="B39" s="26">
        <v>39296</v>
      </c>
      <c r="C39" s="9">
        <v>0.85277777777777775</v>
      </c>
      <c r="D39" s="1">
        <v>0</v>
      </c>
      <c r="E39" s="1">
        <v>18</v>
      </c>
      <c r="F39">
        <v>60</v>
      </c>
      <c r="G39">
        <v>211</v>
      </c>
      <c r="H39" s="15">
        <f t="shared" si="0"/>
        <v>5.0893800988154645</v>
      </c>
      <c r="I39">
        <v>378</v>
      </c>
      <c r="J39">
        <v>1.4</v>
      </c>
      <c r="K39" s="46">
        <f t="shared" si="1"/>
        <v>74.272306776217832</v>
      </c>
      <c r="L39" s="46">
        <f t="shared" si="2"/>
        <v>0.27508261768969566</v>
      </c>
      <c r="M39" s="46">
        <f t="shared" si="3"/>
        <v>1336.9015219719211</v>
      </c>
      <c r="N39" s="46">
        <f t="shared" si="4"/>
        <v>4.9514871184145219</v>
      </c>
    </row>
    <row r="40" spans="1:14">
      <c r="A40" t="s">
        <v>111</v>
      </c>
      <c r="B40" s="26">
        <v>39296</v>
      </c>
      <c r="C40" s="9">
        <v>0.89236111111111116</v>
      </c>
      <c r="D40" s="1">
        <v>18</v>
      </c>
      <c r="E40" s="1">
        <v>40</v>
      </c>
      <c r="F40">
        <v>60</v>
      </c>
      <c r="G40">
        <v>211</v>
      </c>
      <c r="H40" s="15">
        <f t="shared" si="0"/>
        <v>6.2203534541077898</v>
      </c>
      <c r="I40">
        <v>52</v>
      </c>
      <c r="J40">
        <v>318</v>
      </c>
      <c r="K40" s="46">
        <f t="shared" si="1"/>
        <v>8.3596535765439981</v>
      </c>
      <c r="L40" s="46">
        <f t="shared" si="2"/>
        <v>51.122496871942147</v>
      </c>
      <c r="M40" s="46">
        <f t="shared" si="3"/>
        <v>183.91237868396797</v>
      </c>
      <c r="N40" s="46">
        <f t="shared" si="4"/>
        <v>1124.6949311827273</v>
      </c>
    </row>
    <row r="41" spans="1:14">
      <c r="A41" t="s">
        <v>111</v>
      </c>
      <c r="B41" s="26">
        <v>39296</v>
      </c>
      <c r="C41" s="9">
        <v>0.89583333333333337</v>
      </c>
      <c r="D41" s="1">
        <v>0</v>
      </c>
      <c r="E41" s="1">
        <v>18</v>
      </c>
      <c r="F41">
        <v>60</v>
      </c>
      <c r="G41">
        <v>211</v>
      </c>
      <c r="H41" s="15">
        <f t="shared" si="0"/>
        <v>5.0893800988154645</v>
      </c>
      <c r="I41">
        <v>306</v>
      </c>
      <c r="J41">
        <v>584</v>
      </c>
      <c r="K41" s="46">
        <f t="shared" si="1"/>
        <v>60.125200723604912</v>
      </c>
      <c r="L41" s="46">
        <f t="shared" si="2"/>
        <v>114.74874909341591</v>
      </c>
      <c r="M41" s="46">
        <f t="shared" si="3"/>
        <v>1082.2536130248884</v>
      </c>
      <c r="N41" s="46">
        <f t="shared" si="4"/>
        <v>2065.4774836814863</v>
      </c>
    </row>
    <row r="42" spans="1:14">
      <c r="A42" t="s">
        <v>112</v>
      </c>
      <c r="B42" s="26">
        <v>39296</v>
      </c>
      <c r="C42" s="9">
        <v>0.93055555555555547</v>
      </c>
      <c r="D42" s="1">
        <v>18</v>
      </c>
      <c r="E42" s="1">
        <v>40</v>
      </c>
      <c r="F42">
        <v>60</v>
      </c>
      <c r="G42">
        <v>211</v>
      </c>
      <c r="H42" s="15">
        <f t="shared" si="0"/>
        <v>6.2203534541077898</v>
      </c>
      <c r="I42">
        <v>101</v>
      </c>
      <c r="J42">
        <v>555</v>
      </c>
      <c r="K42" s="46">
        <f t="shared" si="1"/>
        <v>16.237019446748921</v>
      </c>
      <c r="L42" s="46">
        <f t="shared" si="2"/>
        <v>89.223225672729214</v>
      </c>
      <c r="M42" s="46">
        <f t="shared" si="3"/>
        <v>357.21442782847623</v>
      </c>
      <c r="N42" s="46">
        <f t="shared" si="4"/>
        <v>1962.9109648000426</v>
      </c>
    </row>
    <row r="43" spans="1:14">
      <c r="A43" t="s">
        <v>112</v>
      </c>
      <c r="B43" s="26">
        <v>39296</v>
      </c>
      <c r="C43" s="9">
        <v>0.93472222222222223</v>
      </c>
      <c r="D43" s="1">
        <v>0</v>
      </c>
      <c r="E43" s="1">
        <v>18</v>
      </c>
      <c r="F43">
        <v>60</v>
      </c>
      <c r="G43">
        <v>211</v>
      </c>
      <c r="H43" s="15">
        <f t="shared" si="0"/>
        <v>5.0893800988154645</v>
      </c>
      <c r="I43">
        <v>410</v>
      </c>
      <c r="J43">
        <v>998</v>
      </c>
      <c r="K43" s="46">
        <f t="shared" si="1"/>
        <v>80.559909466268024</v>
      </c>
      <c r="L43" s="46">
        <f t="shared" si="2"/>
        <v>196.09460889594021</v>
      </c>
      <c r="M43" s="46">
        <f t="shared" si="3"/>
        <v>1450.0783703928244</v>
      </c>
      <c r="N43" s="46">
        <f t="shared" si="4"/>
        <v>3529.7029601269237</v>
      </c>
    </row>
    <row r="44" spans="1:14">
      <c r="A44" t="s">
        <v>113</v>
      </c>
      <c r="B44" s="26">
        <v>39296</v>
      </c>
      <c r="C44" s="9">
        <v>0.97361111111111109</v>
      </c>
      <c r="D44" s="1">
        <v>18</v>
      </c>
      <c r="E44" s="1">
        <v>40</v>
      </c>
      <c r="F44">
        <v>60</v>
      </c>
      <c r="G44">
        <v>211</v>
      </c>
      <c r="H44" s="15">
        <f t="shared" si="0"/>
        <v>6.2203534541077898</v>
      </c>
      <c r="I44">
        <v>66</v>
      </c>
      <c r="J44">
        <v>268</v>
      </c>
      <c r="K44" s="46">
        <f t="shared" si="1"/>
        <v>10.610329539459691</v>
      </c>
      <c r="L44" s="46">
        <f t="shared" si="2"/>
        <v>43.084368432957532</v>
      </c>
      <c r="M44" s="46">
        <f t="shared" si="3"/>
        <v>233.42724986811322</v>
      </c>
      <c r="N44" s="46">
        <f t="shared" si="4"/>
        <v>947.85610552506569</v>
      </c>
    </row>
    <row r="45" spans="1:14">
      <c r="A45" t="s">
        <v>113</v>
      </c>
      <c r="B45" s="26">
        <v>39296</v>
      </c>
      <c r="C45" s="9">
        <v>0.98402777777777783</v>
      </c>
      <c r="D45" s="1">
        <v>0</v>
      </c>
      <c r="E45" s="1">
        <v>18</v>
      </c>
      <c r="F45">
        <v>60</v>
      </c>
      <c r="G45">
        <v>211</v>
      </c>
      <c r="H45" s="15">
        <f t="shared" si="0"/>
        <v>5.0893800988154645</v>
      </c>
      <c r="I45">
        <v>743</v>
      </c>
      <c r="J45">
        <v>715</v>
      </c>
      <c r="K45" s="46">
        <f t="shared" si="1"/>
        <v>145.99027495960277</v>
      </c>
      <c r="L45" s="46">
        <f t="shared" si="2"/>
        <v>140.48862260580887</v>
      </c>
      <c r="M45" s="46">
        <f t="shared" si="3"/>
        <v>2627.8249492728501</v>
      </c>
      <c r="N45" s="46">
        <f t="shared" si="4"/>
        <v>2528.7952069045596</v>
      </c>
    </row>
    <row r="46" spans="1:14">
      <c r="A46" t="s">
        <v>74</v>
      </c>
      <c r="B46" s="26">
        <v>39297</v>
      </c>
      <c r="C46" s="9">
        <v>3.472222222222222E-3</v>
      </c>
      <c r="D46" s="1">
        <v>80</v>
      </c>
      <c r="E46" s="1">
        <v>160</v>
      </c>
      <c r="F46">
        <v>60</v>
      </c>
      <c r="G46">
        <v>211</v>
      </c>
      <c r="H46" s="15">
        <f t="shared" si="0"/>
        <v>22.61946710584651</v>
      </c>
      <c r="I46">
        <v>148</v>
      </c>
      <c r="J46">
        <v>2210</v>
      </c>
      <c r="K46" s="46">
        <f t="shared" si="1"/>
        <v>6.5430365493334754</v>
      </c>
      <c r="L46" s="46">
        <f t="shared" si="2"/>
        <v>97.703451175857978</v>
      </c>
      <c r="M46" s="46">
        <f t="shared" si="3"/>
        <v>523.44292394667809</v>
      </c>
      <c r="N46" s="46">
        <f t="shared" si="4"/>
        <v>7816.2760940686385</v>
      </c>
    </row>
    <row r="47" spans="1:14">
      <c r="A47" t="s">
        <v>74</v>
      </c>
      <c r="B47" s="26">
        <v>39297</v>
      </c>
      <c r="C47" s="9">
        <v>9.7222222222222224E-3</v>
      </c>
      <c r="D47" s="1">
        <v>40</v>
      </c>
      <c r="E47" s="44">
        <v>80</v>
      </c>
      <c r="F47">
        <v>60</v>
      </c>
      <c r="G47">
        <v>211</v>
      </c>
      <c r="H47" s="15">
        <f t="shared" si="0"/>
        <v>11.309733552923255</v>
      </c>
      <c r="I47">
        <v>50</v>
      </c>
      <c r="J47">
        <v>214</v>
      </c>
      <c r="K47" s="46">
        <f t="shared" si="1"/>
        <v>4.4209706414415368</v>
      </c>
      <c r="L47" s="46">
        <f t="shared" si="2"/>
        <v>18.921754345369781</v>
      </c>
      <c r="M47" s="46">
        <f t="shared" si="3"/>
        <v>176.83882565766146</v>
      </c>
      <c r="N47" s="46">
        <f t="shared" si="4"/>
        <v>756.8701738147912</v>
      </c>
    </row>
    <row r="48" spans="1:14">
      <c r="A48" t="s">
        <v>74</v>
      </c>
      <c r="B48" s="26">
        <v>39297</v>
      </c>
      <c r="C48" s="9">
        <v>1.3888888888888888E-2</v>
      </c>
      <c r="D48" s="1">
        <v>18</v>
      </c>
      <c r="E48" s="1">
        <v>40</v>
      </c>
      <c r="F48">
        <v>60</v>
      </c>
      <c r="G48">
        <v>211</v>
      </c>
      <c r="H48" s="15">
        <f t="shared" si="0"/>
        <v>6.2203534541077898</v>
      </c>
      <c r="I48">
        <v>102</v>
      </c>
      <c r="J48">
        <v>318</v>
      </c>
      <c r="K48" s="46">
        <f t="shared" si="1"/>
        <v>16.397782015528612</v>
      </c>
      <c r="L48" s="46">
        <f t="shared" si="2"/>
        <v>51.122496871942147</v>
      </c>
      <c r="M48" s="46">
        <f t="shared" si="3"/>
        <v>360.75120434162949</v>
      </c>
      <c r="N48" s="46">
        <f t="shared" si="4"/>
        <v>1124.6949311827273</v>
      </c>
    </row>
    <row r="49" spans="1:14">
      <c r="A49" t="s">
        <v>74</v>
      </c>
      <c r="B49" s="26">
        <v>39297</v>
      </c>
      <c r="C49" s="9">
        <v>1.6666666666666666E-2</v>
      </c>
      <c r="D49" s="1">
        <v>0</v>
      </c>
      <c r="E49" s="1">
        <v>18</v>
      </c>
      <c r="F49">
        <v>60</v>
      </c>
      <c r="G49">
        <v>211</v>
      </c>
      <c r="H49" s="15">
        <f t="shared" si="0"/>
        <v>5.0893800988154645</v>
      </c>
      <c r="I49">
        <v>438</v>
      </c>
      <c r="J49">
        <v>974</v>
      </c>
      <c r="K49" s="46">
        <f t="shared" si="1"/>
        <v>86.061561820061925</v>
      </c>
      <c r="L49" s="46">
        <f t="shared" si="2"/>
        <v>191.37890687840257</v>
      </c>
      <c r="M49" s="46">
        <f t="shared" si="3"/>
        <v>1549.1081127611146</v>
      </c>
      <c r="N49" s="46">
        <f t="shared" si="4"/>
        <v>3444.8203238112465</v>
      </c>
    </row>
    <row r="50" spans="1:14">
      <c r="A50" t="s">
        <v>75</v>
      </c>
      <c r="B50" s="26">
        <v>39297</v>
      </c>
      <c r="C50" s="9">
        <v>2.2222222222222223E-2</v>
      </c>
      <c r="D50" s="1">
        <v>80</v>
      </c>
      <c r="E50" s="1">
        <v>160</v>
      </c>
      <c r="F50">
        <v>60</v>
      </c>
      <c r="G50">
        <v>211</v>
      </c>
      <c r="H50" s="15">
        <f t="shared" si="0"/>
        <v>22.61946710584651</v>
      </c>
      <c r="I50">
        <v>127</v>
      </c>
      <c r="J50">
        <v>2127</v>
      </c>
      <c r="K50" s="46">
        <f t="shared" si="1"/>
        <v>5.6146327146307522</v>
      </c>
      <c r="L50" s="46">
        <f t="shared" si="2"/>
        <v>94.034045543461502</v>
      </c>
      <c r="M50" s="46">
        <f t="shared" si="3"/>
        <v>449.17061717046016</v>
      </c>
      <c r="N50" s="46">
        <f t="shared" si="4"/>
        <v>7522.7236434769202</v>
      </c>
    </row>
    <row r="51" spans="1:14">
      <c r="A51" t="s">
        <v>75</v>
      </c>
      <c r="B51" s="26">
        <v>39297</v>
      </c>
      <c r="C51" s="9">
        <v>2.8472222222222222E-2</v>
      </c>
      <c r="D51" s="1">
        <v>40</v>
      </c>
      <c r="E51" s="44">
        <v>80</v>
      </c>
      <c r="F51">
        <v>60</v>
      </c>
      <c r="G51">
        <v>211</v>
      </c>
      <c r="H51" s="15">
        <f t="shared" si="0"/>
        <v>11.309733552923255</v>
      </c>
      <c r="I51">
        <v>65</v>
      </c>
      <c r="J51">
        <v>399</v>
      </c>
      <c r="K51" s="46">
        <f t="shared" si="1"/>
        <v>5.7472618338739982</v>
      </c>
      <c r="L51" s="46">
        <f t="shared" si="2"/>
        <v>35.279345718703468</v>
      </c>
      <c r="M51" s="46">
        <f t="shared" si="3"/>
        <v>229.89047335495994</v>
      </c>
      <c r="N51" s="46">
        <f t="shared" si="4"/>
        <v>1411.1738287481387</v>
      </c>
    </row>
    <row r="52" spans="1:14">
      <c r="A52" t="s">
        <v>75</v>
      </c>
      <c r="B52" s="26">
        <v>39297</v>
      </c>
      <c r="C52" s="9">
        <v>3.1944444444444449E-2</v>
      </c>
      <c r="D52" s="1">
        <v>18</v>
      </c>
      <c r="E52" s="1">
        <v>40</v>
      </c>
      <c r="F52">
        <v>60</v>
      </c>
      <c r="G52">
        <v>211</v>
      </c>
      <c r="H52" s="15">
        <f t="shared" si="0"/>
        <v>6.2203534541077898</v>
      </c>
      <c r="I52">
        <v>156</v>
      </c>
      <c r="J52">
        <v>430</v>
      </c>
      <c r="K52" s="46">
        <f t="shared" si="1"/>
        <v>25.078960729631994</v>
      </c>
      <c r="L52" s="46">
        <f t="shared" si="2"/>
        <v>69.127904575267678</v>
      </c>
      <c r="M52" s="46">
        <f t="shared" si="3"/>
        <v>551.73713605190392</v>
      </c>
      <c r="N52" s="46">
        <f t="shared" si="4"/>
        <v>1520.813900655889</v>
      </c>
    </row>
    <row r="53" spans="1:14">
      <c r="A53" t="s">
        <v>75</v>
      </c>
      <c r="B53" s="26">
        <v>39297</v>
      </c>
      <c r="C53" s="9">
        <v>3.5416666666666666E-2</v>
      </c>
      <c r="D53" s="1">
        <v>0</v>
      </c>
      <c r="E53" s="1">
        <v>18</v>
      </c>
      <c r="F53">
        <v>60</v>
      </c>
      <c r="G53">
        <v>211</v>
      </c>
      <c r="H53" s="15">
        <f t="shared" si="0"/>
        <v>5.0893800988154645</v>
      </c>
      <c r="I53">
        <v>416</v>
      </c>
      <c r="J53">
        <v>468</v>
      </c>
      <c r="K53" s="46">
        <f t="shared" si="1"/>
        <v>81.738834970652434</v>
      </c>
      <c r="L53" s="46">
        <f t="shared" si="2"/>
        <v>91.956189341983986</v>
      </c>
      <c r="M53" s="46">
        <f t="shared" si="3"/>
        <v>1471.2990294717438</v>
      </c>
      <c r="N53" s="46">
        <f t="shared" si="4"/>
        <v>1655.2114081557118</v>
      </c>
    </row>
  </sheetData>
  <mergeCells count="3">
    <mergeCell ref="I3:J3"/>
    <mergeCell ref="K3:L3"/>
    <mergeCell ref="M3:N3"/>
  </mergeCells>
  <phoneticPr fontId="6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P48"/>
  <sheetViews>
    <sheetView workbookViewId="0">
      <selection activeCell="M5" sqref="M5"/>
    </sheetView>
  </sheetViews>
  <sheetFormatPr defaultColWidth="8.85546875" defaultRowHeight="12.75"/>
  <cols>
    <col min="1" max="1" width="12.85546875" bestFit="1" customWidth="1"/>
    <col min="2" max="2" width="8.7109375" bestFit="1" customWidth="1"/>
    <col min="3" max="3" width="5.42578125" bestFit="1" customWidth="1"/>
    <col min="4" max="4" width="6" bestFit="1" customWidth="1"/>
    <col min="5" max="5" width="6.140625" bestFit="1" customWidth="1"/>
    <col min="6" max="6" width="8.28515625" bestFit="1" customWidth="1"/>
    <col min="7" max="7" width="5.42578125" bestFit="1" customWidth="1"/>
    <col min="8" max="8" width="7.140625" bestFit="1" customWidth="1"/>
    <col min="9" max="9" width="8.42578125" style="55" bestFit="1" customWidth="1"/>
    <col min="10" max="10" width="7.7109375" style="55" bestFit="1" customWidth="1"/>
    <col min="11" max="11" width="8.42578125" bestFit="1" customWidth="1"/>
    <col min="12" max="12" width="7.7109375" bestFit="1" customWidth="1"/>
    <col min="13" max="13" width="8.42578125" bestFit="1" customWidth="1"/>
    <col min="14" max="14" width="7.7109375" bestFit="1" customWidth="1"/>
  </cols>
  <sheetData>
    <row r="1" spans="1:16">
      <c r="A1" s="19" t="s">
        <v>60</v>
      </c>
      <c r="D1" s="1"/>
      <c r="E1" s="1"/>
      <c r="H1" s="15"/>
    </row>
    <row r="2" spans="1:16">
      <c r="A2" t="s">
        <v>130</v>
      </c>
      <c r="D2" s="1"/>
      <c r="E2" s="1"/>
      <c r="H2" s="15"/>
    </row>
    <row r="3" spans="1:16">
      <c r="D3" s="1"/>
      <c r="E3" s="1"/>
      <c r="H3" s="15"/>
      <c r="I3" s="76" t="s">
        <v>13</v>
      </c>
      <c r="J3" s="76"/>
      <c r="K3" s="77" t="s">
        <v>14</v>
      </c>
      <c r="L3" s="77"/>
      <c r="M3" s="77" t="s">
        <v>15</v>
      </c>
      <c r="N3" s="77"/>
    </row>
    <row r="4" spans="1:16" ht="77.25" thickBot="1">
      <c r="A4" s="21" t="s">
        <v>64</v>
      </c>
      <c r="B4" s="21" t="s">
        <v>65</v>
      </c>
      <c r="C4" s="21" t="s">
        <v>49</v>
      </c>
      <c r="D4" s="23" t="s">
        <v>66</v>
      </c>
      <c r="E4" s="23" t="s">
        <v>67</v>
      </c>
      <c r="F4" s="21" t="s">
        <v>68</v>
      </c>
      <c r="G4" s="21" t="s">
        <v>69</v>
      </c>
      <c r="H4" s="24" t="s">
        <v>70</v>
      </c>
      <c r="I4" s="25" t="s">
        <v>16</v>
      </c>
      <c r="J4" s="25" t="s">
        <v>17</v>
      </c>
      <c r="K4" s="25" t="s">
        <v>16</v>
      </c>
      <c r="L4" s="25" t="s">
        <v>17</v>
      </c>
      <c r="M4" s="25" t="s">
        <v>16</v>
      </c>
      <c r="N4" s="25" t="s">
        <v>17</v>
      </c>
    </row>
    <row r="5" spans="1:16">
      <c r="A5" t="s">
        <v>99</v>
      </c>
      <c r="B5" s="26">
        <v>39378</v>
      </c>
      <c r="C5" s="9">
        <v>0.76736111111111116</v>
      </c>
      <c r="D5" s="1">
        <v>0</v>
      </c>
      <c r="E5" s="1">
        <v>25</v>
      </c>
      <c r="F5">
        <v>60</v>
      </c>
      <c r="G5">
        <v>211</v>
      </c>
      <c r="H5" s="15">
        <f>(E5-D5)*PI()*((F5/100)/2)^2</f>
        <v>7.0685834705770345</v>
      </c>
      <c r="I5" s="55">
        <v>242</v>
      </c>
      <c r="J5" s="55">
        <v>90</v>
      </c>
      <c r="K5" s="46">
        <f>I5/H5</f>
        <v>34.235996647323262</v>
      </c>
      <c r="L5" s="46">
        <f>J5/H5</f>
        <v>12.732395447351628</v>
      </c>
      <c r="M5" s="46">
        <f>I5/H5*(E5-D5)</f>
        <v>855.89991618308159</v>
      </c>
      <c r="N5" s="46">
        <f>J5/H5*(E5-D5)</f>
        <v>318.3098861837907</v>
      </c>
    </row>
    <row r="6" spans="1:16">
      <c r="A6" t="s">
        <v>99</v>
      </c>
      <c r="B6" s="26">
        <v>39378</v>
      </c>
      <c r="C6" s="9">
        <v>0.77430555555555547</v>
      </c>
      <c r="D6">
        <v>25</v>
      </c>
      <c r="E6">
        <v>50</v>
      </c>
      <c r="F6">
        <v>60</v>
      </c>
      <c r="G6">
        <v>211</v>
      </c>
      <c r="H6" s="15">
        <f>(E6-D6)*PI()*((F6/100)/2)^2</f>
        <v>7.0685834705770345</v>
      </c>
      <c r="I6" s="55">
        <v>385</v>
      </c>
      <c r="J6" s="55">
        <v>136</v>
      </c>
      <c r="K6" s="46">
        <f t="shared" ref="K6:K46" si="0">I6/H6</f>
        <v>54.46635830255974</v>
      </c>
      <c r="L6" s="46">
        <f t="shared" ref="L6:L46" si="1">J6/H6</f>
        <v>19.240064231553571</v>
      </c>
      <c r="M6" s="46">
        <f t="shared" ref="M6:M46" si="2">I6/H6*(E6-D6)</f>
        <v>1361.6589575639935</v>
      </c>
      <c r="N6" s="46">
        <f t="shared" ref="N6:N46" si="3">J6/H6*(E6-D6)</f>
        <v>481.0016057888393</v>
      </c>
    </row>
    <row r="7" spans="1:16">
      <c r="A7" t="s">
        <v>100</v>
      </c>
      <c r="B7" s="26">
        <v>39378</v>
      </c>
      <c r="C7" s="9">
        <v>0.81805555555555554</v>
      </c>
      <c r="D7" s="1">
        <v>0</v>
      </c>
      <c r="E7" s="1">
        <v>25</v>
      </c>
      <c r="F7">
        <v>60</v>
      </c>
      <c r="G7">
        <v>211</v>
      </c>
      <c r="H7" s="15">
        <f t="shared" ref="H7:H24" si="4">(E7-D7)*PI()*((F7/100)/2)^2</f>
        <v>7.0685834705770345</v>
      </c>
      <c r="I7" s="55">
        <v>543</v>
      </c>
      <c r="J7" s="55">
        <v>316</v>
      </c>
      <c r="K7" s="46">
        <f t="shared" si="0"/>
        <v>76.818785865688156</v>
      </c>
      <c r="L7" s="46">
        <f t="shared" si="1"/>
        <v>44.704855126256824</v>
      </c>
      <c r="M7" s="46">
        <f t="shared" si="2"/>
        <v>1920.469646642204</v>
      </c>
      <c r="N7" s="46">
        <f t="shared" si="3"/>
        <v>1117.6213781564206</v>
      </c>
    </row>
    <row r="8" spans="1:16">
      <c r="A8" t="s">
        <v>100</v>
      </c>
      <c r="B8" s="26">
        <v>39378</v>
      </c>
      <c r="C8" s="9">
        <v>0.81944444444444453</v>
      </c>
      <c r="D8">
        <v>25</v>
      </c>
      <c r="E8">
        <v>50</v>
      </c>
      <c r="F8">
        <v>60</v>
      </c>
      <c r="G8">
        <v>211</v>
      </c>
      <c r="H8" s="15">
        <f t="shared" si="4"/>
        <v>7.0685834705770345</v>
      </c>
      <c r="I8" s="55">
        <v>210</v>
      </c>
      <c r="J8" s="55">
        <v>57</v>
      </c>
      <c r="K8" s="46">
        <f t="shared" si="0"/>
        <v>29.70892271048713</v>
      </c>
      <c r="L8" s="46">
        <f t="shared" si="1"/>
        <v>8.0638504499893635</v>
      </c>
      <c r="M8" s="46">
        <f t="shared" si="2"/>
        <v>742.72306776217829</v>
      </c>
      <c r="N8" s="46">
        <f t="shared" si="3"/>
        <v>201.59626124973408</v>
      </c>
    </row>
    <row r="9" spans="1:16">
      <c r="A9" t="s">
        <v>101</v>
      </c>
      <c r="B9" s="26">
        <v>39378</v>
      </c>
      <c r="C9" s="9">
        <v>0.85416666666666663</v>
      </c>
      <c r="D9" s="1">
        <v>0</v>
      </c>
      <c r="E9" s="1">
        <v>25</v>
      </c>
      <c r="F9">
        <v>60</v>
      </c>
      <c r="G9">
        <v>211</v>
      </c>
      <c r="H9" s="15">
        <f t="shared" si="4"/>
        <v>7.0685834705770345</v>
      </c>
      <c r="I9" s="55">
        <v>499</v>
      </c>
      <c r="J9" s="55">
        <v>360</v>
      </c>
      <c r="K9" s="46">
        <f t="shared" si="0"/>
        <v>70.59405920253846</v>
      </c>
      <c r="L9" s="46">
        <f t="shared" si="1"/>
        <v>50.929581789406512</v>
      </c>
      <c r="M9" s="46">
        <f t="shared" si="2"/>
        <v>1764.8514800634616</v>
      </c>
      <c r="N9" s="46">
        <f t="shared" si="3"/>
        <v>1273.2395447351628</v>
      </c>
    </row>
    <row r="10" spans="1:16">
      <c r="A10" t="s">
        <v>101</v>
      </c>
      <c r="B10" s="26">
        <v>39378</v>
      </c>
      <c r="C10" s="9">
        <v>0.85763888888888884</v>
      </c>
      <c r="D10">
        <v>25</v>
      </c>
      <c r="E10">
        <v>50</v>
      </c>
      <c r="F10">
        <v>60</v>
      </c>
      <c r="G10">
        <v>211</v>
      </c>
      <c r="H10" s="15">
        <f t="shared" si="4"/>
        <v>7.0685834705770345</v>
      </c>
      <c r="I10" s="55">
        <v>395</v>
      </c>
      <c r="J10" s="55">
        <v>485</v>
      </c>
      <c r="K10" s="46">
        <f t="shared" si="0"/>
        <v>55.881068907821032</v>
      </c>
      <c r="L10" s="46">
        <f t="shared" si="1"/>
        <v>68.613464355172653</v>
      </c>
      <c r="M10" s="46">
        <f t="shared" si="2"/>
        <v>1397.0267226955257</v>
      </c>
      <c r="N10" s="46">
        <f t="shared" si="3"/>
        <v>1715.3366088793164</v>
      </c>
      <c r="O10" s="56"/>
      <c r="P10" s="54"/>
    </row>
    <row r="11" spans="1:16">
      <c r="A11" t="s">
        <v>102</v>
      </c>
      <c r="B11" s="26">
        <v>39378</v>
      </c>
      <c r="C11" s="9">
        <v>0.89722222222222225</v>
      </c>
      <c r="D11" s="1">
        <v>0</v>
      </c>
      <c r="E11" s="1">
        <v>25</v>
      </c>
      <c r="F11">
        <v>60</v>
      </c>
      <c r="G11">
        <v>211</v>
      </c>
      <c r="H11" s="15">
        <f t="shared" si="4"/>
        <v>7.0685834705770345</v>
      </c>
      <c r="I11" s="55">
        <v>653</v>
      </c>
      <c r="J11" s="55">
        <v>277</v>
      </c>
      <c r="K11" s="46">
        <f t="shared" si="0"/>
        <v>92.380602523562359</v>
      </c>
      <c r="L11" s="46">
        <f t="shared" si="1"/>
        <v>39.187483765737788</v>
      </c>
      <c r="M11" s="46">
        <f t="shared" si="2"/>
        <v>2309.5150630890589</v>
      </c>
      <c r="N11" s="46">
        <f t="shared" si="3"/>
        <v>979.68709414344471</v>
      </c>
      <c r="O11" s="57"/>
      <c r="P11" s="54"/>
    </row>
    <row r="12" spans="1:16">
      <c r="A12" t="s">
        <v>102</v>
      </c>
      <c r="B12" s="26">
        <v>39378</v>
      </c>
      <c r="C12" s="9">
        <v>0.90069444444444446</v>
      </c>
      <c r="D12">
        <v>25</v>
      </c>
      <c r="E12">
        <v>50</v>
      </c>
      <c r="F12">
        <v>60</v>
      </c>
      <c r="G12">
        <v>211</v>
      </c>
      <c r="H12" s="15">
        <f t="shared" si="4"/>
        <v>7.0685834705770345</v>
      </c>
      <c r="I12" s="55">
        <v>85</v>
      </c>
      <c r="J12" s="55">
        <v>219</v>
      </c>
      <c r="K12" s="46">
        <f t="shared" si="0"/>
        <v>12.025040144720981</v>
      </c>
      <c r="L12" s="46">
        <f t="shared" si="1"/>
        <v>30.982162255222292</v>
      </c>
      <c r="M12" s="46">
        <f t="shared" si="2"/>
        <v>300.62600361802453</v>
      </c>
      <c r="N12" s="46">
        <f t="shared" si="3"/>
        <v>774.55405638055731</v>
      </c>
      <c r="P12" s="54"/>
    </row>
    <row r="13" spans="1:16">
      <c r="A13" t="s">
        <v>103</v>
      </c>
      <c r="B13" s="26">
        <v>39378</v>
      </c>
      <c r="C13" s="9">
        <v>0.9375</v>
      </c>
      <c r="D13" s="1">
        <v>0</v>
      </c>
      <c r="E13" s="1">
        <v>25</v>
      </c>
      <c r="F13">
        <v>60</v>
      </c>
      <c r="G13">
        <v>211</v>
      </c>
      <c r="H13" s="15">
        <f t="shared" si="4"/>
        <v>7.0685834705770345</v>
      </c>
      <c r="I13" s="55">
        <v>698</v>
      </c>
      <c r="J13" s="55">
        <v>272</v>
      </c>
      <c r="K13" s="46">
        <f t="shared" si="0"/>
        <v>98.74680024723817</v>
      </c>
      <c r="L13" s="46">
        <f t="shared" si="1"/>
        <v>38.480128463107143</v>
      </c>
      <c r="M13" s="46">
        <f t="shared" si="2"/>
        <v>2468.6700061809543</v>
      </c>
      <c r="N13" s="46">
        <f t="shared" si="3"/>
        <v>962.0032115776786</v>
      </c>
      <c r="P13" s="54"/>
    </row>
    <row r="14" spans="1:16">
      <c r="A14" t="s">
        <v>103</v>
      </c>
      <c r="B14" s="26">
        <v>39378</v>
      </c>
      <c r="C14" s="9">
        <v>0.94236111111111109</v>
      </c>
      <c r="D14">
        <v>25</v>
      </c>
      <c r="E14">
        <v>50</v>
      </c>
      <c r="F14">
        <v>60</v>
      </c>
      <c r="G14">
        <v>211</v>
      </c>
      <c r="H14" s="15">
        <f t="shared" si="4"/>
        <v>7.0685834705770345</v>
      </c>
      <c r="I14" s="55">
        <v>506</v>
      </c>
      <c r="J14" s="55">
        <v>359</v>
      </c>
      <c r="K14" s="46">
        <f t="shared" si="0"/>
        <v>71.584356626221378</v>
      </c>
      <c r="L14" s="46">
        <f t="shared" si="1"/>
        <v>50.788110728880383</v>
      </c>
      <c r="M14" s="46">
        <f t="shared" si="2"/>
        <v>1789.6089156555345</v>
      </c>
      <c r="N14" s="46">
        <f t="shared" si="3"/>
        <v>1269.7027682220096</v>
      </c>
    </row>
    <row r="15" spans="1:16">
      <c r="A15" t="s">
        <v>104</v>
      </c>
      <c r="B15" s="26">
        <v>39378</v>
      </c>
      <c r="C15" s="9">
        <v>0.98124999999999996</v>
      </c>
      <c r="D15" s="1">
        <v>0</v>
      </c>
      <c r="E15" s="1">
        <v>25</v>
      </c>
      <c r="F15">
        <v>60</v>
      </c>
      <c r="G15">
        <v>211</v>
      </c>
      <c r="H15" s="15">
        <f t="shared" si="4"/>
        <v>7.0685834705770345</v>
      </c>
      <c r="I15" s="55">
        <v>542</v>
      </c>
      <c r="J15" s="55">
        <v>262</v>
      </c>
      <c r="K15" s="46">
        <f t="shared" si="0"/>
        <v>76.677314805162027</v>
      </c>
      <c r="L15" s="46">
        <f t="shared" si="1"/>
        <v>37.065417857845851</v>
      </c>
      <c r="M15" s="46">
        <f t="shared" si="2"/>
        <v>1916.9328701290506</v>
      </c>
      <c r="N15" s="46">
        <f t="shared" si="3"/>
        <v>926.63544644614626</v>
      </c>
    </row>
    <row r="16" spans="1:16">
      <c r="A16" t="s">
        <v>104</v>
      </c>
      <c r="B16" s="26">
        <v>39378</v>
      </c>
      <c r="C16" s="9">
        <v>0.98541666666666661</v>
      </c>
      <c r="D16" s="1">
        <v>25</v>
      </c>
      <c r="E16" s="1">
        <v>50</v>
      </c>
      <c r="F16">
        <v>60</v>
      </c>
      <c r="G16">
        <v>211</v>
      </c>
      <c r="H16" s="15">
        <f>(E16-D16)*PI()*((F16/100)/2)^2</f>
        <v>7.0685834705770345</v>
      </c>
      <c r="I16" s="55">
        <v>509</v>
      </c>
      <c r="J16" s="55">
        <v>374</v>
      </c>
      <c r="K16" s="46">
        <f t="shared" si="0"/>
        <v>72.008769807799766</v>
      </c>
      <c r="L16" s="46">
        <f t="shared" si="1"/>
        <v>52.91017663677232</v>
      </c>
      <c r="M16" s="46">
        <f t="shared" si="2"/>
        <v>1800.2192451949941</v>
      </c>
      <c r="N16" s="46">
        <f t="shared" si="3"/>
        <v>1322.754415919308</v>
      </c>
    </row>
    <row r="17" spans="1:14">
      <c r="A17" t="s">
        <v>71</v>
      </c>
      <c r="B17" s="26">
        <v>39379</v>
      </c>
      <c r="C17" s="9">
        <v>2.9861111111111113E-2</v>
      </c>
      <c r="D17" s="1">
        <v>80</v>
      </c>
      <c r="E17" s="1">
        <v>160</v>
      </c>
      <c r="F17">
        <v>60</v>
      </c>
      <c r="G17">
        <v>211</v>
      </c>
      <c r="H17" s="15">
        <f t="shared" si="4"/>
        <v>22.61946710584651</v>
      </c>
      <c r="I17" s="55">
        <v>163</v>
      </c>
      <c r="J17" s="55">
        <v>4981</v>
      </c>
      <c r="K17" s="46">
        <f t="shared" si="0"/>
        <v>7.2061821455497057</v>
      </c>
      <c r="L17" s="46">
        <f t="shared" si="1"/>
        <v>220.20854765020297</v>
      </c>
      <c r="M17" s="46">
        <f t="shared" si="2"/>
        <v>576.49457164397643</v>
      </c>
      <c r="N17" s="46">
        <f t="shared" si="3"/>
        <v>17616.683812016239</v>
      </c>
    </row>
    <row r="18" spans="1:14">
      <c r="A18" t="s">
        <v>71</v>
      </c>
      <c r="B18" s="26">
        <v>39379</v>
      </c>
      <c r="C18" s="9">
        <v>3.6805555555555557E-2</v>
      </c>
      <c r="D18" s="1">
        <v>50</v>
      </c>
      <c r="E18" s="1">
        <v>80</v>
      </c>
      <c r="F18">
        <v>60</v>
      </c>
      <c r="G18">
        <v>211</v>
      </c>
      <c r="H18" s="15">
        <f t="shared" si="4"/>
        <v>8.4823001646924396</v>
      </c>
      <c r="I18" s="55">
        <v>90</v>
      </c>
      <c r="J18" s="55">
        <v>321</v>
      </c>
      <c r="K18" s="46">
        <f t="shared" si="0"/>
        <v>10.610329539459691</v>
      </c>
      <c r="L18" s="46">
        <f t="shared" si="1"/>
        <v>37.843508690739569</v>
      </c>
      <c r="M18" s="46">
        <f t="shared" si="2"/>
        <v>318.30988618379075</v>
      </c>
      <c r="N18" s="46">
        <f t="shared" si="3"/>
        <v>1135.3052607221871</v>
      </c>
    </row>
    <row r="19" spans="1:14">
      <c r="A19" t="s">
        <v>71</v>
      </c>
      <c r="B19" s="26">
        <v>39379</v>
      </c>
      <c r="C19" s="9">
        <v>4.2361111111111106E-2</v>
      </c>
      <c r="D19" s="1">
        <v>25</v>
      </c>
      <c r="E19" s="1">
        <v>50</v>
      </c>
      <c r="F19">
        <v>60</v>
      </c>
      <c r="G19">
        <v>211</v>
      </c>
      <c r="H19" s="15">
        <f t="shared" si="4"/>
        <v>7.0685834705770345</v>
      </c>
      <c r="I19" s="55">
        <v>313</v>
      </c>
      <c r="J19" s="55">
        <v>92</v>
      </c>
      <c r="K19" s="46">
        <f t="shared" si="0"/>
        <v>44.280441944678437</v>
      </c>
      <c r="L19" s="46">
        <f t="shared" si="1"/>
        <v>13.015337568403886</v>
      </c>
      <c r="M19" s="46">
        <f t="shared" si="2"/>
        <v>1107.0110486169608</v>
      </c>
      <c r="N19" s="46">
        <f t="shared" si="3"/>
        <v>325.38343921009715</v>
      </c>
    </row>
    <row r="20" spans="1:14">
      <c r="A20" t="s">
        <v>71</v>
      </c>
      <c r="B20" s="26">
        <v>39379</v>
      </c>
      <c r="C20" s="9">
        <v>4.4444444444444446E-2</v>
      </c>
      <c r="D20" s="1">
        <v>0</v>
      </c>
      <c r="E20" s="1">
        <v>25</v>
      </c>
      <c r="F20">
        <v>60</v>
      </c>
      <c r="G20">
        <v>211</v>
      </c>
      <c r="H20" s="15">
        <f t="shared" si="4"/>
        <v>7.0685834705770345</v>
      </c>
      <c r="I20" s="55">
        <v>403</v>
      </c>
      <c r="J20" s="55">
        <v>238</v>
      </c>
      <c r="K20" s="46">
        <f t="shared" si="0"/>
        <v>57.012837392030065</v>
      </c>
      <c r="L20" s="46">
        <f t="shared" si="1"/>
        <v>33.670112405218745</v>
      </c>
      <c r="M20" s="46">
        <f t="shared" si="2"/>
        <v>1425.3209348007517</v>
      </c>
      <c r="N20" s="46">
        <f t="shared" si="3"/>
        <v>841.75281013046867</v>
      </c>
    </row>
    <row r="21" spans="1:14">
      <c r="A21" t="s">
        <v>72</v>
      </c>
      <c r="B21" s="26">
        <v>39379</v>
      </c>
      <c r="C21" s="9">
        <v>5.1388888888888894E-2</v>
      </c>
      <c r="D21" s="1">
        <v>80</v>
      </c>
      <c r="E21" s="1">
        <v>160</v>
      </c>
      <c r="F21">
        <v>60</v>
      </c>
      <c r="G21">
        <v>211</v>
      </c>
      <c r="H21" s="15">
        <f t="shared" si="4"/>
        <v>22.61946710584651</v>
      </c>
      <c r="I21" s="55">
        <v>179</v>
      </c>
      <c r="J21" s="55">
        <v>3826</v>
      </c>
      <c r="K21" s="46">
        <f t="shared" si="0"/>
        <v>7.9135374481803513</v>
      </c>
      <c r="L21" s="46">
        <f t="shared" si="1"/>
        <v>169.14633674155323</v>
      </c>
      <c r="M21" s="46">
        <f t="shared" si="2"/>
        <v>633.08299585442808</v>
      </c>
      <c r="N21" s="46">
        <f t="shared" si="3"/>
        <v>13531.706939324258</v>
      </c>
    </row>
    <row r="22" spans="1:14">
      <c r="A22" t="s">
        <v>72</v>
      </c>
      <c r="B22" s="26">
        <v>39379</v>
      </c>
      <c r="C22" s="9">
        <v>6.3888888888888884E-2</v>
      </c>
      <c r="D22" s="1">
        <v>50</v>
      </c>
      <c r="E22" s="1">
        <v>80</v>
      </c>
      <c r="F22">
        <v>60</v>
      </c>
      <c r="G22">
        <v>211</v>
      </c>
      <c r="H22" s="15">
        <f t="shared" si="4"/>
        <v>8.4823001646924396</v>
      </c>
      <c r="I22" s="55">
        <v>141</v>
      </c>
      <c r="J22" s="55">
        <v>239</v>
      </c>
      <c r="K22" s="46">
        <f t="shared" si="0"/>
        <v>16.622849611820183</v>
      </c>
      <c r="L22" s="46">
        <f t="shared" si="1"/>
        <v>28.176319554787405</v>
      </c>
      <c r="M22" s="46">
        <f t="shared" si="2"/>
        <v>498.68548835460547</v>
      </c>
      <c r="N22" s="46">
        <f t="shared" si="3"/>
        <v>845.2895866436221</v>
      </c>
    </row>
    <row r="23" spans="1:14">
      <c r="A23" t="s">
        <v>72</v>
      </c>
      <c r="B23" s="26">
        <v>39379</v>
      </c>
      <c r="C23" s="9">
        <v>6.805555555555555E-2</v>
      </c>
      <c r="D23" s="1">
        <v>25</v>
      </c>
      <c r="E23" s="1">
        <v>50</v>
      </c>
      <c r="F23">
        <v>60</v>
      </c>
      <c r="G23">
        <v>211</v>
      </c>
      <c r="H23" s="15">
        <f t="shared" si="4"/>
        <v>7.0685834705770345</v>
      </c>
      <c r="I23" s="55">
        <v>234</v>
      </c>
      <c r="J23" s="55">
        <v>97</v>
      </c>
      <c r="K23" s="46">
        <f t="shared" si="0"/>
        <v>33.104228163114229</v>
      </c>
      <c r="L23" s="46">
        <f t="shared" si="1"/>
        <v>13.722692871034532</v>
      </c>
      <c r="M23" s="46">
        <f t="shared" si="2"/>
        <v>827.60570407785576</v>
      </c>
      <c r="N23" s="46">
        <f t="shared" si="3"/>
        <v>343.06732177586332</v>
      </c>
    </row>
    <row r="24" spans="1:14">
      <c r="A24" s="37" t="s">
        <v>72</v>
      </c>
      <c r="B24" s="38">
        <v>39379</v>
      </c>
      <c r="C24" s="39">
        <v>7.1527777777777787E-2</v>
      </c>
      <c r="D24" s="41">
        <v>0</v>
      </c>
      <c r="E24" s="41">
        <v>25</v>
      </c>
      <c r="F24" s="37">
        <v>60</v>
      </c>
      <c r="G24" s="37">
        <v>211</v>
      </c>
      <c r="H24" s="43">
        <f t="shared" si="4"/>
        <v>7.0685834705770345</v>
      </c>
      <c r="I24" s="55">
        <v>515</v>
      </c>
      <c r="J24" s="55">
        <v>263</v>
      </c>
      <c r="K24" s="46">
        <f t="shared" si="0"/>
        <v>72.857596170956541</v>
      </c>
      <c r="L24" s="46">
        <f t="shared" si="1"/>
        <v>37.20688891837198</v>
      </c>
      <c r="M24" s="46">
        <f t="shared" si="2"/>
        <v>1821.4399042739135</v>
      </c>
      <c r="N24" s="46">
        <f t="shared" si="3"/>
        <v>930.17222295929946</v>
      </c>
    </row>
    <row r="25" spans="1:14">
      <c r="A25" s="35" t="s">
        <v>73</v>
      </c>
      <c r="B25" s="26">
        <v>39379</v>
      </c>
      <c r="C25" s="9">
        <v>0.6972222222222223</v>
      </c>
      <c r="D25" s="1">
        <v>80</v>
      </c>
      <c r="E25" s="1">
        <v>160</v>
      </c>
      <c r="F25">
        <v>60</v>
      </c>
      <c r="G25">
        <v>211</v>
      </c>
      <c r="H25" s="15">
        <f>(E25-D25)*PI()*((F25/100)/2)^2</f>
        <v>22.61946710584651</v>
      </c>
      <c r="K25" s="46">
        <f t="shared" si="0"/>
        <v>0</v>
      </c>
      <c r="L25" s="46">
        <f t="shared" si="1"/>
        <v>0</v>
      </c>
      <c r="M25" s="46">
        <f t="shared" si="2"/>
        <v>0</v>
      </c>
      <c r="N25" s="46">
        <f t="shared" si="3"/>
        <v>0</v>
      </c>
    </row>
    <row r="26" spans="1:14">
      <c r="A26" s="35" t="s">
        <v>73</v>
      </c>
      <c r="B26" s="26">
        <v>39379</v>
      </c>
      <c r="C26" s="9">
        <v>0.70763888888888893</v>
      </c>
      <c r="D26" s="1">
        <v>50</v>
      </c>
      <c r="E26" s="1">
        <v>80</v>
      </c>
      <c r="F26">
        <v>60</v>
      </c>
      <c r="G26">
        <v>211</v>
      </c>
      <c r="H26" s="15">
        <f t="shared" ref="H26:H46" si="5">(E26-D26)*PI()*((F26/100)/2)^2</f>
        <v>8.4823001646924396</v>
      </c>
      <c r="K26" s="46">
        <f t="shared" si="0"/>
        <v>0</v>
      </c>
      <c r="L26" s="46">
        <f t="shared" si="1"/>
        <v>0</v>
      </c>
      <c r="M26" s="46">
        <f t="shared" si="2"/>
        <v>0</v>
      </c>
      <c r="N26" s="46">
        <f t="shared" si="3"/>
        <v>0</v>
      </c>
    </row>
    <row r="27" spans="1:14">
      <c r="A27" s="35" t="s">
        <v>73</v>
      </c>
      <c r="B27" s="26">
        <v>39379</v>
      </c>
      <c r="C27" s="9">
        <v>0.71180555555555547</v>
      </c>
      <c r="D27" s="1">
        <v>25</v>
      </c>
      <c r="E27" s="1">
        <v>50</v>
      </c>
      <c r="F27">
        <v>60</v>
      </c>
      <c r="G27">
        <v>211</v>
      </c>
      <c r="H27" s="15">
        <f t="shared" si="5"/>
        <v>7.0685834705770345</v>
      </c>
      <c r="K27" s="46">
        <f t="shared" si="0"/>
        <v>0</v>
      </c>
      <c r="L27" s="46">
        <f t="shared" si="1"/>
        <v>0</v>
      </c>
      <c r="M27" s="46">
        <f t="shared" si="2"/>
        <v>0</v>
      </c>
      <c r="N27" s="46">
        <f t="shared" si="3"/>
        <v>0</v>
      </c>
    </row>
    <row r="28" spans="1:14">
      <c r="A28" s="35" t="s">
        <v>73</v>
      </c>
      <c r="B28" s="26">
        <v>39379</v>
      </c>
      <c r="C28" s="9">
        <v>0.71458333333333324</v>
      </c>
      <c r="D28" s="3">
        <v>0</v>
      </c>
      <c r="E28" s="3">
        <v>25</v>
      </c>
      <c r="F28">
        <v>60</v>
      </c>
      <c r="G28">
        <v>211</v>
      </c>
      <c r="H28" s="15">
        <f t="shared" si="5"/>
        <v>7.0685834705770345</v>
      </c>
      <c r="K28" s="46">
        <f t="shared" si="0"/>
        <v>0</v>
      </c>
      <c r="L28" s="46">
        <f t="shared" si="1"/>
        <v>0</v>
      </c>
      <c r="M28" s="46">
        <f t="shared" si="2"/>
        <v>0</v>
      </c>
      <c r="N28" s="46">
        <f t="shared" si="3"/>
        <v>0</v>
      </c>
    </row>
    <row r="29" spans="1:14">
      <c r="A29" s="35" t="s">
        <v>131</v>
      </c>
      <c r="B29" s="26">
        <v>39379</v>
      </c>
      <c r="C29" s="9">
        <v>0.74236111111111114</v>
      </c>
      <c r="D29" s="1">
        <v>25</v>
      </c>
      <c r="E29" s="1">
        <v>50</v>
      </c>
      <c r="F29">
        <v>60</v>
      </c>
      <c r="G29">
        <v>211</v>
      </c>
      <c r="H29" s="15">
        <f t="shared" si="5"/>
        <v>7.0685834705770345</v>
      </c>
      <c r="I29" s="55">
        <v>17</v>
      </c>
      <c r="J29" s="55">
        <v>12</v>
      </c>
      <c r="K29" s="46">
        <f t="shared" si="0"/>
        <v>2.4050080289441964</v>
      </c>
      <c r="L29" s="46">
        <f t="shared" si="1"/>
        <v>1.6976527263135504</v>
      </c>
      <c r="M29" s="46">
        <f t="shared" si="2"/>
        <v>60.125200723604912</v>
      </c>
      <c r="N29" s="46">
        <f t="shared" si="3"/>
        <v>42.441318157838758</v>
      </c>
    </row>
    <row r="30" spans="1:14">
      <c r="A30" s="35" t="s">
        <v>131</v>
      </c>
      <c r="B30" s="26">
        <v>39379</v>
      </c>
      <c r="C30" s="9">
        <v>0.74513888888888891</v>
      </c>
      <c r="D30" s="3">
        <v>0</v>
      </c>
      <c r="E30" s="3">
        <v>25</v>
      </c>
      <c r="F30">
        <v>60</v>
      </c>
      <c r="G30">
        <v>211</v>
      </c>
      <c r="H30" s="15">
        <f t="shared" si="5"/>
        <v>7.0685834705770345</v>
      </c>
      <c r="I30" s="55">
        <v>136</v>
      </c>
      <c r="J30" s="55">
        <v>121</v>
      </c>
      <c r="K30" s="46">
        <f t="shared" si="0"/>
        <v>19.240064231553571</v>
      </c>
      <c r="L30" s="46">
        <f t="shared" si="1"/>
        <v>17.117998323661631</v>
      </c>
      <c r="M30" s="46">
        <f t="shared" si="2"/>
        <v>481.0016057888393</v>
      </c>
      <c r="N30" s="46">
        <f t="shared" si="3"/>
        <v>427.94995809154079</v>
      </c>
    </row>
    <row r="31" spans="1:14">
      <c r="A31" s="35" t="s">
        <v>132</v>
      </c>
      <c r="B31" s="26">
        <v>39379</v>
      </c>
      <c r="C31" s="9">
        <v>0.78749999999999998</v>
      </c>
      <c r="D31" s="1">
        <v>25</v>
      </c>
      <c r="E31" s="1">
        <v>50</v>
      </c>
      <c r="F31">
        <v>60</v>
      </c>
      <c r="G31">
        <v>211</v>
      </c>
      <c r="H31" s="15">
        <f t="shared" si="5"/>
        <v>7.0685834705770345</v>
      </c>
      <c r="I31" s="55">
        <v>109</v>
      </c>
      <c r="J31" s="55">
        <v>118</v>
      </c>
      <c r="K31" s="46">
        <f t="shared" si="0"/>
        <v>15.420345597348081</v>
      </c>
      <c r="L31" s="46">
        <f t="shared" si="1"/>
        <v>16.693585142083244</v>
      </c>
      <c r="M31" s="46">
        <f t="shared" si="2"/>
        <v>385.50863993370206</v>
      </c>
      <c r="N31" s="46">
        <f t="shared" si="3"/>
        <v>417.33962855208108</v>
      </c>
    </row>
    <row r="32" spans="1:14">
      <c r="A32" s="35" t="s">
        <v>132</v>
      </c>
      <c r="B32" s="26">
        <v>39379</v>
      </c>
      <c r="C32" s="9">
        <v>0.79166666666666663</v>
      </c>
      <c r="D32" s="3">
        <v>0</v>
      </c>
      <c r="E32" s="3">
        <v>25</v>
      </c>
      <c r="F32">
        <v>60</v>
      </c>
      <c r="G32">
        <v>211</v>
      </c>
      <c r="H32" s="15">
        <f t="shared" si="5"/>
        <v>7.0685834705770345</v>
      </c>
      <c r="I32" s="55">
        <v>462</v>
      </c>
      <c r="J32" s="55">
        <v>555</v>
      </c>
      <c r="K32" s="46">
        <f t="shared" si="0"/>
        <v>65.359629963071683</v>
      </c>
      <c r="L32" s="46">
        <f t="shared" si="1"/>
        <v>78.516438592001705</v>
      </c>
      <c r="M32" s="46">
        <f t="shared" si="2"/>
        <v>1633.9907490767921</v>
      </c>
      <c r="N32" s="46">
        <f t="shared" si="3"/>
        <v>1962.9109648000426</v>
      </c>
    </row>
    <row r="33" spans="1:14">
      <c r="A33" s="35" t="s">
        <v>133</v>
      </c>
      <c r="B33" s="26">
        <v>39379</v>
      </c>
      <c r="C33" s="9">
        <v>0.83888888888888891</v>
      </c>
      <c r="D33" s="1">
        <v>25</v>
      </c>
      <c r="E33" s="1">
        <v>50</v>
      </c>
      <c r="F33">
        <v>60</v>
      </c>
      <c r="G33">
        <v>211</v>
      </c>
      <c r="H33" s="15">
        <f t="shared" si="5"/>
        <v>7.0685834705770345</v>
      </c>
      <c r="I33" s="55">
        <v>32</v>
      </c>
      <c r="J33" s="55">
        <v>48</v>
      </c>
      <c r="K33" s="46">
        <f t="shared" si="0"/>
        <v>4.5270739368361346</v>
      </c>
      <c r="L33" s="46">
        <f t="shared" si="1"/>
        <v>6.7906109052542014</v>
      </c>
      <c r="M33" s="46">
        <f t="shared" si="2"/>
        <v>113.17684842090337</v>
      </c>
      <c r="N33" s="46">
        <f t="shared" si="3"/>
        <v>169.76527263135503</v>
      </c>
    </row>
    <row r="34" spans="1:14">
      <c r="A34" s="35" t="s">
        <v>133</v>
      </c>
      <c r="B34" s="26">
        <v>39379</v>
      </c>
      <c r="C34" s="9">
        <v>0.84375</v>
      </c>
      <c r="D34" s="3">
        <v>0</v>
      </c>
      <c r="E34" s="3">
        <v>25</v>
      </c>
      <c r="F34">
        <v>60</v>
      </c>
      <c r="G34">
        <v>211</v>
      </c>
      <c r="H34" s="15">
        <f t="shared" si="5"/>
        <v>7.0685834705770345</v>
      </c>
      <c r="I34" s="55">
        <v>333</v>
      </c>
      <c r="J34" s="55">
        <v>408</v>
      </c>
      <c r="K34" s="46">
        <f t="shared" si="0"/>
        <v>47.109863155201019</v>
      </c>
      <c r="L34" s="46">
        <f t="shared" si="1"/>
        <v>57.72019269466071</v>
      </c>
      <c r="M34" s="46">
        <f t="shared" si="2"/>
        <v>1177.7465788800255</v>
      </c>
      <c r="N34" s="46">
        <f t="shared" si="3"/>
        <v>1443.0048173665177</v>
      </c>
    </row>
    <row r="35" spans="1:14">
      <c r="A35" s="35" t="s">
        <v>134</v>
      </c>
      <c r="B35" s="26">
        <v>39379</v>
      </c>
      <c r="C35" s="9">
        <v>0.88055555555555554</v>
      </c>
      <c r="D35" s="1">
        <v>25</v>
      </c>
      <c r="E35" s="1">
        <v>50</v>
      </c>
      <c r="F35">
        <v>60</v>
      </c>
      <c r="G35">
        <v>211</v>
      </c>
      <c r="H35" s="15">
        <f t="shared" si="5"/>
        <v>7.0685834705770345</v>
      </c>
      <c r="I35" s="55">
        <v>202</v>
      </c>
      <c r="J35" s="55">
        <v>385</v>
      </c>
      <c r="K35" s="46">
        <f t="shared" si="0"/>
        <v>28.577154226278097</v>
      </c>
      <c r="L35" s="46">
        <f t="shared" si="1"/>
        <v>54.46635830255974</v>
      </c>
      <c r="M35" s="46">
        <f t="shared" si="2"/>
        <v>714.42885565695246</v>
      </c>
      <c r="N35" s="46">
        <f t="shared" si="3"/>
        <v>1361.6589575639935</v>
      </c>
    </row>
    <row r="36" spans="1:14">
      <c r="A36" s="35" t="s">
        <v>134</v>
      </c>
      <c r="B36" s="26">
        <v>39379</v>
      </c>
      <c r="C36" s="9">
        <v>0.88402777777777775</v>
      </c>
      <c r="D36" s="3">
        <v>0</v>
      </c>
      <c r="E36" s="3">
        <v>25</v>
      </c>
      <c r="F36">
        <v>60</v>
      </c>
      <c r="G36">
        <v>211</v>
      </c>
      <c r="H36" s="15">
        <f t="shared" si="5"/>
        <v>7.0685834705770345</v>
      </c>
      <c r="I36" s="55">
        <v>444</v>
      </c>
      <c r="J36" s="55">
        <v>482</v>
      </c>
      <c r="K36" s="46">
        <f t="shared" si="0"/>
        <v>62.813150873601359</v>
      </c>
      <c r="L36" s="46">
        <f t="shared" si="1"/>
        <v>68.189051173594265</v>
      </c>
      <c r="M36" s="46">
        <f t="shared" si="2"/>
        <v>1570.3287718400341</v>
      </c>
      <c r="N36" s="46">
        <f t="shared" si="3"/>
        <v>1704.7262793398565</v>
      </c>
    </row>
    <row r="37" spans="1:14">
      <c r="A37" s="35" t="s">
        <v>134</v>
      </c>
      <c r="B37" s="26">
        <v>39379</v>
      </c>
      <c r="C37" s="9">
        <v>0.89236111111111116</v>
      </c>
      <c r="D37" s="1">
        <v>80</v>
      </c>
      <c r="E37" s="1">
        <v>160</v>
      </c>
      <c r="F37">
        <v>60</v>
      </c>
      <c r="G37">
        <v>211</v>
      </c>
      <c r="H37" s="15">
        <f t="shared" si="5"/>
        <v>22.61946710584651</v>
      </c>
      <c r="K37" s="46">
        <f t="shared" si="0"/>
        <v>0</v>
      </c>
      <c r="L37" s="46">
        <f t="shared" si="1"/>
        <v>0</v>
      </c>
      <c r="M37" s="46">
        <f t="shared" si="2"/>
        <v>0</v>
      </c>
      <c r="N37" s="46">
        <f t="shared" si="3"/>
        <v>0</v>
      </c>
    </row>
    <row r="38" spans="1:14">
      <c r="A38" s="35" t="s">
        <v>134</v>
      </c>
      <c r="B38" s="26">
        <v>39379</v>
      </c>
      <c r="C38" s="9">
        <v>0.89861111111111114</v>
      </c>
      <c r="D38" s="1">
        <v>50</v>
      </c>
      <c r="E38" s="1">
        <v>80</v>
      </c>
      <c r="F38">
        <v>60</v>
      </c>
      <c r="G38">
        <v>211</v>
      </c>
      <c r="H38" s="15">
        <f t="shared" si="5"/>
        <v>8.4823001646924396</v>
      </c>
      <c r="K38" s="46">
        <f t="shared" si="0"/>
        <v>0</v>
      </c>
      <c r="L38" s="46">
        <f t="shared" si="1"/>
        <v>0</v>
      </c>
      <c r="M38" s="46">
        <f t="shared" si="2"/>
        <v>0</v>
      </c>
      <c r="N38" s="46">
        <f t="shared" si="3"/>
        <v>0</v>
      </c>
    </row>
    <row r="39" spans="1:14">
      <c r="A39" s="35" t="s">
        <v>135</v>
      </c>
      <c r="B39" s="26">
        <v>39379</v>
      </c>
      <c r="C39" s="9">
        <v>0.92083333333333339</v>
      </c>
      <c r="D39" s="1">
        <v>25</v>
      </c>
      <c r="E39" s="1">
        <v>50</v>
      </c>
      <c r="F39">
        <v>60</v>
      </c>
      <c r="G39">
        <v>211</v>
      </c>
      <c r="H39" s="15">
        <f t="shared" si="5"/>
        <v>7.0685834705770345</v>
      </c>
      <c r="I39" s="55">
        <v>357</v>
      </c>
      <c r="J39" s="55">
        <v>419</v>
      </c>
      <c r="K39" s="46">
        <f t="shared" si="0"/>
        <v>50.505168607828125</v>
      </c>
      <c r="L39" s="46">
        <f t="shared" si="1"/>
        <v>59.276374360448131</v>
      </c>
      <c r="M39" s="46">
        <f t="shared" si="2"/>
        <v>1262.6292151957032</v>
      </c>
      <c r="N39" s="46">
        <f t="shared" si="3"/>
        <v>1481.9093590112034</v>
      </c>
    </row>
    <row r="40" spans="1:14">
      <c r="A40" s="35" t="s">
        <v>135</v>
      </c>
      <c r="B40" s="26">
        <v>39379</v>
      </c>
      <c r="C40" s="9">
        <v>0.9243055555555556</v>
      </c>
      <c r="D40" s="3">
        <v>0</v>
      </c>
      <c r="E40" s="3">
        <v>25</v>
      </c>
      <c r="F40">
        <v>60</v>
      </c>
      <c r="G40">
        <v>211</v>
      </c>
      <c r="H40" s="15">
        <f t="shared" si="5"/>
        <v>7.0685834705770345</v>
      </c>
      <c r="I40" s="55">
        <v>289</v>
      </c>
      <c r="J40" s="55">
        <v>134</v>
      </c>
      <c r="K40" s="46">
        <f t="shared" si="0"/>
        <v>40.885136492051338</v>
      </c>
      <c r="L40" s="46">
        <f t="shared" si="1"/>
        <v>18.957122110501313</v>
      </c>
      <c r="M40" s="46">
        <f t="shared" si="2"/>
        <v>1022.1284123012834</v>
      </c>
      <c r="N40" s="46">
        <f t="shared" si="3"/>
        <v>473.92805276253284</v>
      </c>
    </row>
    <row r="41" spans="1:14">
      <c r="A41" s="35" t="s">
        <v>136</v>
      </c>
      <c r="B41" s="26">
        <v>39379</v>
      </c>
      <c r="C41" s="9">
        <v>0.9590277777777777</v>
      </c>
      <c r="D41" s="1">
        <v>25</v>
      </c>
      <c r="E41" s="1">
        <v>50</v>
      </c>
      <c r="F41">
        <v>60</v>
      </c>
      <c r="G41">
        <v>211</v>
      </c>
      <c r="H41" s="15">
        <f t="shared" si="5"/>
        <v>7.0685834705770345</v>
      </c>
      <c r="I41" s="55">
        <v>704</v>
      </c>
      <c r="J41" s="55">
        <v>232</v>
      </c>
      <c r="K41" s="46">
        <f t="shared" si="0"/>
        <v>99.595626610394959</v>
      </c>
      <c r="L41" s="46">
        <f t="shared" si="1"/>
        <v>32.821286042061971</v>
      </c>
      <c r="M41" s="46">
        <f t="shared" si="2"/>
        <v>2489.8906652598739</v>
      </c>
      <c r="N41" s="46">
        <f t="shared" si="3"/>
        <v>820.53215105154925</v>
      </c>
    </row>
    <row r="42" spans="1:14">
      <c r="A42" s="35" t="s">
        <v>136</v>
      </c>
      <c r="B42" s="26">
        <v>39379</v>
      </c>
      <c r="C42" s="9">
        <v>0.96250000000000002</v>
      </c>
      <c r="D42" s="3">
        <v>0</v>
      </c>
      <c r="E42" s="3">
        <v>25</v>
      </c>
      <c r="F42">
        <v>60</v>
      </c>
      <c r="G42">
        <v>211</v>
      </c>
      <c r="H42" s="15">
        <f t="shared" si="5"/>
        <v>7.0685834705770345</v>
      </c>
      <c r="I42" s="55">
        <v>503</v>
      </c>
      <c r="J42" s="55">
        <v>97</v>
      </c>
      <c r="K42" s="46">
        <f t="shared" si="0"/>
        <v>71.159943444642991</v>
      </c>
      <c r="L42" s="46">
        <f t="shared" si="1"/>
        <v>13.722692871034532</v>
      </c>
      <c r="M42" s="46">
        <f t="shared" si="2"/>
        <v>1778.9985861160749</v>
      </c>
      <c r="N42" s="46">
        <f t="shared" si="3"/>
        <v>343.06732177586332</v>
      </c>
    </row>
    <row r="43" spans="1:14">
      <c r="A43" s="35" t="s">
        <v>74</v>
      </c>
      <c r="B43" s="26">
        <v>39379</v>
      </c>
      <c r="C43" s="9">
        <v>0.99236111111111114</v>
      </c>
      <c r="D43" s="1">
        <v>80</v>
      </c>
      <c r="E43" s="1">
        <v>160</v>
      </c>
      <c r="F43">
        <v>60</v>
      </c>
      <c r="G43">
        <v>211</v>
      </c>
      <c r="H43" s="15">
        <f t="shared" si="5"/>
        <v>22.61946710584651</v>
      </c>
      <c r="K43" s="46">
        <f t="shared" si="0"/>
        <v>0</v>
      </c>
      <c r="L43" s="46">
        <f t="shared" si="1"/>
        <v>0</v>
      </c>
      <c r="M43" s="46">
        <f t="shared" si="2"/>
        <v>0</v>
      </c>
      <c r="N43" s="46">
        <f t="shared" si="3"/>
        <v>0</v>
      </c>
    </row>
    <row r="44" spans="1:14">
      <c r="A44" s="35" t="s">
        <v>74</v>
      </c>
      <c r="B44" s="26">
        <v>39379</v>
      </c>
      <c r="C44" s="9">
        <v>0.99861111111111101</v>
      </c>
      <c r="D44" s="1">
        <v>50</v>
      </c>
      <c r="E44" s="1">
        <v>80</v>
      </c>
      <c r="F44">
        <v>60</v>
      </c>
      <c r="G44">
        <v>211</v>
      </c>
      <c r="H44" s="15">
        <f t="shared" si="5"/>
        <v>8.4823001646924396</v>
      </c>
      <c r="K44" s="46">
        <f t="shared" si="0"/>
        <v>0</v>
      </c>
      <c r="L44" s="46">
        <f t="shared" si="1"/>
        <v>0</v>
      </c>
      <c r="M44" s="46">
        <f t="shared" si="2"/>
        <v>0</v>
      </c>
      <c r="N44" s="46">
        <f t="shared" si="3"/>
        <v>0</v>
      </c>
    </row>
    <row r="45" spans="1:14">
      <c r="A45" s="35" t="s">
        <v>74</v>
      </c>
      <c r="B45" s="26">
        <v>39380</v>
      </c>
      <c r="C45" s="9">
        <v>3.472222222222222E-3</v>
      </c>
      <c r="D45" s="1">
        <v>25</v>
      </c>
      <c r="E45" s="1">
        <v>50</v>
      </c>
      <c r="F45">
        <v>60</v>
      </c>
      <c r="G45">
        <v>211</v>
      </c>
      <c r="H45" s="15">
        <f t="shared" si="5"/>
        <v>7.0685834705770345</v>
      </c>
      <c r="K45" s="46">
        <f t="shared" si="0"/>
        <v>0</v>
      </c>
      <c r="L45" s="46">
        <f t="shared" si="1"/>
        <v>0</v>
      </c>
      <c r="M45" s="46">
        <f t="shared" si="2"/>
        <v>0</v>
      </c>
      <c r="N45" s="46">
        <f t="shared" si="3"/>
        <v>0</v>
      </c>
    </row>
    <row r="46" spans="1:14">
      <c r="A46" s="35" t="s">
        <v>74</v>
      </c>
      <c r="B46" s="26">
        <v>39380</v>
      </c>
      <c r="C46" s="9">
        <v>6.9444444444444441E-3</v>
      </c>
      <c r="D46" s="3">
        <v>0</v>
      </c>
      <c r="E46" s="3">
        <v>25</v>
      </c>
      <c r="F46">
        <v>60</v>
      </c>
      <c r="G46">
        <v>211</v>
      </c>
      <c r="H46" s="15">
        <f t="shared" si="5"/>
        <v>7.0685834705770345</v>
      </c>
      <c r="K46" s="46">
        <f t="shared" si="0"/>
        <v>0</v>
      </c>
      <c r="L46" s="46">
        <f t="shared" si="1"/>
        <v>0</v>
      </c>
      <c r="M46" s="46">
        <f t="shared" si="2"/>
        <v>0</v>
      </c>
      <c r="N46" s="46">
        <f t="shared" si="3"/>
        <v>0</v>
      </c>
    </row>
    <row r="47" spans="1:14">
      <c r="B47" s="26"/>
    </row>
    <row r="48" spans="1:14">
      <c r="B48" s="26"/>
    </row>
  </sheetData>
  <mergeCells count="3">
    <mergeCell ref="I3:J3"/>
    <mergeCell ref="K3:L3"/>
    <mergeCell ref="M3:N3"/>
  </mergeCells>
  <phoneticPr fontId="6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Q60"/>
  <sheetViews>
    <sheetView tabSelected="1" workbookViewId="0">
      <selection activeCell="G24" sqref="G24"/>
    </sheetView>
  </sheetViews>
  <sheetFormatPr defaultColWidth="8.85546875" defaultRowHeight="12.75"/>
  <cols>
    <col min="1" max="1" width="11.7109375" style="61" bestFit="1" customWidth="1"/>
    <col min="2" max="2" width="9" style="59" bestFit="1" customWidth="1"/>
    <col min="3" max="3" width="5.42578125" style="59" bestFit="1" customWidth="1"/>
    <col min="4" max="4" width="6.140625" style="59" bestFit="1" customWidth="1"/>
    <col min="5" max="5" width="6.140625" style="59" customWidth="1"/>
    <col min="6" max="6" width="9.140625" style="59" customWidth="1"/>
    <col min="7" max="7" width="5.42578125" style="68" bestFit="1" customWidth="1"/>
    <col min="8" max="8" width="7.85546875" style="59" bestFit="1" customWidth="1"/>
    <col min="9" max="11" width="11" style="59" customWidth="1"/>
    <col min="12" max="17" width="12.140625" style="59" bestFit="1" customWidth="1"/>
    <col min="18" max="18" width="19.7109375" style="59" bestFit="1" customWidth="1"/>
    <col min="19" max="256" width="12.42578125" style="59" customWidth="1"/>
    <col min="257" max="16384" width="8.85546875" style="59"/>
  </cols>
  <sheetData>
    <row r="1" spans="1:17">
      <c r="A1" s="66" t="s">
        <v>138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7">
      <c r="A2" s="66" t="s">
        <v>139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7">
      <c r="E3" s="61"/>
      <c r="F3" s="61"/>
      <c r="G3" s="66"/>
      <c r="H3" s="60"/>
      <c r="I3" s="79" t="s">
        <v>140</v>
      </c>
      <c r="J3" s="79"/>
      <c r="K3" s="79"/>
      <c r="L3" s="80" t="s">
        <v>12</v>
      </c>
      <c r="M3" s="80"/>
      <c r="N3" s="80"/>
      <c r="O3" s="78" t="s">
        <v>15</v>
      </c>
      <c r="P3" s="78"/>
      <c r="Q3" s="78"/>
    </row>
    <row r="4" spans="1:17" ht="51.75" thickBot="1">
      <c r="A4" s="21" t="s">
        <v>64</v>
      </c>
      <c r="B4" s="21" t="s">
        <v>65</v>
      </c>
      <c r="C4" s="21" t="s">
        <v>49</v>
      </c>
      <c r="D4" s="23" t="s">
        <v>66</v>
      </c>
      <c r="E4" s="23" t="s">
        <v>67</v>
      </c>
      <c r="F4" s="21" t="s">
        <v>68</v>
      </c>
      <c r="G4" s="67" t="s">
        <v>69</v>
      </c>
      <c r="H4" s="24" t="s">
        <v>70</v>
      </c>
      <c r="I4" s="25" t="s">
        <v>16</v>
      </c>
      <c r="J4" s="25" t="s">
        <v>11</v>
      </c>
      <c r="K4" s="25" t="s">
        <v>17</v>
      </c>
      <c r="L4" s="25" t="s">
        <v>16</v>
      </c>
      <c r="M4" s="25" t="s">
        <v>11</v>
      </c>
      <c r="N4" s="25" t="s">
        <v>17</v>
      </c>
      <c r="O4" s="25" t="s">
        <v>16</v>
      </c>
      <c r="P4" s="25" t="s">
        <v>11</v>
      </c>
      <c r="Q4" s="25" t="s">
        <v>17</v>
      </c>
    </row>
    <row r="5" spans="1:17">
      <c r="A5" s="61" t="s">
        <v>19</v>
      </c>
      <c r="B5" s="62">
        <v>39551</v>
      </c>
      <c r="C5" s="63">
        <v>0.78333333333333333</v>
      </c>
      <c r="D5" s="61">
        <v>0</v>
      </c>
      <c r="E5" s="61">
        <v>18</v>
      </c>
      <c r="F5" s="61">
        <v>60</v>
      </c>
      <c r="G5" s="66">
        <v>211</v>
      </c>
      <c r="H5" s="15">
        <f>(E5-D5)*PI()*((F5/100)/2)^2</f>
        <v>5.0893800988154645</v>
      </c>
      <c r="I5" s="61">
        <v>19</v>
      </c>
      <c r="J5" s="61"/>
      <c r="K5" s="61">
        <v>0</v>
      </c>
      <c r="L5" s="59">
        <f t="shared" ref="L5:L14" si="0">I5/(PI()*0.3^2)/(E5-D5)</f>
        <v>3.7332640972172979</v>
      </c>
      <c r="N5" s="59">
        <f t="shared" ref="N5:N14" si="1">K5/(PI()*0.3^2)/(E5-D5)</f>
        <v>0</v>
      </c>
      <c r="O5" s="61">
        <f>I5/$H5*($E5-$D5)</f>
        <v>67.198753749911376</v>
      </c>
      <c r="P5" s="61"/>
      <c r="Q5" s="61">
        <f t="shared" ref="Q5" si="2">K5/$H5*($E5-$D5)</f>
        <v>0</v>
      </c>
    </row>
    <row r="6" spans="1:17">
      <c r="A6" s="61" t="s">
        <v>19</v>
      </c>
      <c r="B6" s="62">
        <v>39551</v>
      </c>
      <c r="C6" s="63">
        <v>0.78055555555555556</v>
      </c>
      <c r="D6" s="61">
        <v>18</v>
      </c>
      <c r="E6" s="61">
        <v>36</v>
      </c>
      <c r="F6" s="61">
        <v>60</v>
      </c>
      <c r="G6" s="66">
        <v>211</v>
      </c>
      <c r="H6" s="15">
        <f t="shared" ref="H6:H49" si="3">(E6-D6)*PI()*((F6/100)/2)^2</f>
        <v>5.0893800988154645</v>
      </c>
      <c r="I6" s="61">
        <v>42</v>
      </c>
      <c r="J6" s="61"/>
      <c r="K6" s="61">
        <v>0</v>
      </c>
      <c r="L6" s="59">
        <f t="shared" si="0"/>
        <v>8.252478530690869</v>
      </c>
      <c r="N6" s="59">
        <f t="shared" si="1"/>
        <v>0</v>
      </c>
      <c r="O6" s="61">
        <f t="shared" ref="O6:P49" si="4">I6/$H6*($E6-$D6)</f>
        <v>148.54461355243566</v>
      </c>
      <c r="P6" s="61"/>
      <c r="Q6" s="61">
        <f t="shared" ref="Q6:Q49" si="5">K6/$H6*($E6-$D6)</f>
        <v>0</v>
      </c>
    </row>
    <row r="7" spans="1:17">
      <c r="A7" s="61" t="s">
        <v>20</v>
      </c>
      <c r="B7" s="62">
        <v>39551</v>
      </c>
      <c r="C7" s="63">
        <v>0.87152777777777779</v>
      </c>
      <c r="D7" s="61">
        <v>0</v>
      </c>
      <c r="E7" s="61">
        <v>18</v>
      </c>
      <c r="F7" s="61">
        <v>60</v>
      </c>
      <c r="G7" s="66">
        <v>211</v>
      </c>
      <c r="H7" s="15">
        <f t="shared" si="3"/>
        <v>5.0893800988154645</v>
      </c>
      <c r="I7" s="61">
        <v>35</v>
      </c>
      <c r="J7" s="61"/>
      <c r="K7" s="61">
        <v>16</v>
      </c>
      <c r="L7" s="59">
        <f t="shared" si="0"/>
        <v>6.8770654422423911</v>
      </c>
      <c r="N7" s="59">
        <f t="shared" si="1"/>
        <v>3.1438013450250932</v>
      </c>
      <c r="O7" s="61">
        <f t="shared" si="4"/>
        <v>123.78717796036305</v>
      </c>
      <c r="P7" s="61"/>
      <c r="Q7" s="61">
        <f t="shared" si="5"/>
        <v>56.588424210451677</v>
      </c>
    </row>
    <row r="8" spans="1:17">
      <c r="A8" s="61" t="s">
        <v>20</v>
      </c>
      <c r="B8" s="62">
        <v>39551</v>
      </c>
      <c r="C8" s="63">
        <v>0.8666666666666667</v>
      </c>
      <c r="D8" s="61">
        <v>18</v>
      </c>
      <c r="E8" s="61">
        <v>36</v>
      </c>
      <c r="F8" s="61">
        <v>60</v>
      </c>
      <c r="G8" s="66">
        <v>211</v>
      </c>
      <c r="H8" s="15">
        <f t="shared" si="3"/>
        <v>5.0893800988154645</v>
      </c>
      <c r="I8" s="61">
        <v>59</v>
      </c>
      <c r="J8" s="61"/>
      <c r="K8" s="61">
        <v>60</v>
      </c>
      <c r="L8" s="59">
        <f t="shared" si="0"/>
        <v>11.592767459780029</v>
      </c>
      <c r="N8" s="59">
        <f t="shared" si="1"/>
        <v>11.789255043844099</v>
      </c>
      <c r="O8" s="61">
        <f t="shared" si="4"/>
        <v>208.66981427604057</v>
      </c>
      <c r="P8" s="61"/>
      <c r="Q8" s="61">
        <f t="shared" si="5"/>
        <v>212.2065907891938</v>
      </c>
    </row>
    <row r="9" spans="1:17">
      <c r="A9" s="61" t="s">
        <v>21</v>
      </c>
      <c r="B9" s="62">
        <v>39551</v>
      </c>
      <c r="C9" s="63">
        <v>0.90972222222222221</v>
      </c>
      <c r="D9" s="61">
        <v>0</v>
      </c>
      <c r="E9" s="61">
        <v>18</v>
      </c>
      <c r="F9" s="61">
        <v>60</v>
      </c>
      <c r="G9" s="66">
        <v>211</v>
      </c>
      <c r="H9" s="15">
        <f t="shared" si="3"/>
        <v>5.0893800988154645</v>
      </c>
      <c r="I9" s="61">
        <v>40</v>
      </c>
      <c r="J9" s="61"/>
      <c r="K9" s="61">
        <v>48</v>
      </c>
      <c r="L9" s="59">
        <f t="shared" si="0"/>
        <v>7.859503362562732</v>
      </c>
      <c r="N9" s="59">
        <f t="shared" si="1"/>
        <v>9.4314040350752801</v>
      </c>
      <c r="O9" s="61">
        <f t="shared" si="4"/>
        <v>141.47106052612921</v>
      </c>
      <c r="P9" s="61"/>
      <c r="Q9" s="61">
        <f t="shared" si="5"/>
        <v>169.76527263135503</v>
      </c>
    </row>
    <row r="10" spans="1:17">
      <c r="A10" s="61" t="s">
        <v>21</v>
      </c>
      <c r="B10" s="62">
        <v>39551</v>
      </c>
      <c r="C10" s="63">
        <v>0.90625</v>
      </c>
      <c r="D10" s="61">
        <v>18</v>
      </c>
      <c r="E10" s="61">
        <v>36</v>
      </c>
      <c r="F10" s="61">
        <v>60</v>
      </c>
      <c r="G10" s="66">
        <v>211</v>
      </c>
      <c r="H10" s="15">
        <f t="shared" si="3"/>
        <v>5.0893800988154645</v>
      </c>
      <c r="I10" s="61">
        <v>52</v>
      </c>
      <c r="J10" s="61"/>
      <c r="K10" s="61">
        <v>17</v>
      </c>
      <c r="L10" s="59">
        <f t="shared" si="0"/>
        <v>10.217354371331552</v>
      </c>
      <c r="N10" s="59">
        <f t="shared" si="1"/>
        <v>3.3402889290891613</v>
      </c>
      <c r="O10" s="61">
        <f t="shared" si="4"/>
        <v>183.91237868396797</v>
      </c>
      <c r="P10" s="61"/>
      <c r="Q10" s="61">
        <f t="shared" si="5"/>
        <v>60.125200723604912</v>
      </c>
    </row>
    <row r="11" spans="1:17">
      <c r="A11" s="61" t="s">
        <v>22</v>
      </c>
      <c r="B11" s="62">
        <v>39551</v>
      </c>
      <c r="C11" s="63">
        <v>0.95138888888888884</v>
      </c>
      <c r="D11" s="61">
        <v>0</v>
      </c>
      <c r="E11" s="61">
        <v>18</v>
      </c>
      <c r="F11" s="61">
        <v>60</v>
      </c>
      <c r="G11" s="66">
        <v>211</v>
      </c>
      <c r="H11" s="15">
        <f t="shared" si="3"/>
        <v>5.0893800988154645</v>
      </c>
      <c r="I11" s="61">
        <v>32</v>
      </c>
      <c r="J11" s="61"/>
      <c r="K11" s="61">
        <v>42</v>
      </c>
      <c r="L11" s="59">
        <f t="shared" si="0"/>
        <v>6.2876026900501865</v>
      </c>
      <c r="N11" s="59">
        <f t="shared" si="1"/>
        <v>8.252478530690869</v>
      </c>
      <c r="O11" s="61">
        <f t="shared" si="4"/>
        <v>113.17684842090335</v>
      </c>
      <c r="P11" s="61"/>
      <c r="Q11" s="61">
        <f t="shared" si="5"/>
        <v>148.54461355243566</v>
      </c>
    </row>
    <row r="12" spans="1:17">
      <c r="A12" s="61" t="s">
        <v>22</v>
      </c>
      <c r="B12" s="62">
        <v>39551</v>
      </c>
      <c r="C12" s="63">
        <v>0.94791666666666663</v>
      </c>
      <c r="D12" s="61">
        <v>18</v>
      </c>
      <c r="E12" s="61">
        <v>36</v>
      </c>
      <c r="F12" s="61">
        <v>60</v>
      </c>
      <c r="G12" s="66">
        <v>211</v>
      </c>
      <c r="H12" s="15">
        <f t="shared" si="3"/>
        <v>5.0893800988154645</v>
      </c>
      <c r="I12" s="61">
        <v>54</v>
      </c>
      <c r="J12" s="61"/>
      <c r="K12" s="61">
        <v>37</v>
      </c>
      <c r="L12" s="59">
        <f t="shared" si="0"/>
        <v>10.610329539459689</v>
      </c>
      <c r="N12" s="59">
        <f t="shared" si="1"/>
        <v>7.2700406103705273</v>
      </c>
      <c r="O12" s="61">
        <f t="shared" si="4"/>
        <v>190.9859317102744</v>
      </c>
      <c r="P12" s="61"/>
      <c r="Q12" s="61">
        <f t="shared" si="5"/>
        <v>130.86073098666949</v>
      </c>
    </row>
    <row r="13" spans="1:17">
      <c r="A13" s="61" t="s">
        <v>23</v>
      </c>
      <c r="B13" s="62">
        <v>39551</v>
      </c>
      <c r="C13" s="63">
        <v>0.9916666666666667</v>
      </c>
      <c r="D13" s="61">
        <v>0</v>
      </c>
      <c r="E13" s="61">
        <v>18</v>
      </c>
      <c r="F13" s="61">
        <v>60</v>
      </c>
      <c r="G13" s="66">
        <v>211</v>
      </c>
      <c r="H13" s="15">
        <f t="shared" si="3"/>
        <v>5.0893800988154645</v>
      </c>
      <c r="I13" s="61">
        <v>34</v>
      </c>
      <c r="J13" s="61"/>
      <c r="K13" s="61">
        <v>78</v>
      </c>
      <c r="L13" s="59">
        <f t="shared" si="0"/>
        <v>6.6805778581783226</v>
      </c>
      <c r="N13" s="59">
        <f t="shared" si="1"/>
        <v>15.326031556997329</v>
      </c>
      <c r="O13" s="61">
        <f t="shared" si="4"/>
        <v>120.25040144720982</v>
      </c>
      <c r="P13" s="61"/>
      <c r="Q13" s="61">
        <f t="shared" si="5"/>
        <v>275.86856802595196</v>
      </c>
    </row>
    <row r="14" spans="1:17">
      <c r="A14" s="61" t="s">
        <v>24</v>
      </c>
      <c r="B14" s="62">
        <v>39551</v>
      </c>
      <c r="C14" s="63">
        <v>0.98958333333333337</v>
      </c>
      <c r="D14" s="61">
        <v>18</v>
      </c>
      <c r="E14" s="61">
        <v>36</v>
      </c>
      <c r="F14" s="61">
        <v>60</v>
      </c>
      <c r="G14" s="66">
        <v>211</v>
      </c>
      <c r="H14" s="15">
        <f t="shared" si="3"/>
        <v>5.0893800988154645</v>
      </c>
      <c r="I14" s="61">
        <v>70</v>
      </c>
      <c r="J14" s="61"/>
      <c r="K14" s="61">
        <v>47</v>
      </c>
      <c r="L14" s="59">
        <f t="shared" si="0"/>
        <v>13.754130884484782</v>
      </c>
      <c r="N14" s="59">
        <f t="shared" si="1"/>
        <v>9.2349164510112107</v>
      </c>
      <c r="O14" s="61">
        <f t="shared" si="4"/>
        <v>247.57435592072611</v>
      </c>
      <c r="P14" s="61"/>
      <c r="Q14" s="61">
        <f t="shared" si="5"/>
        <v>166.22849611820183</v>
      </c>
    </row>
    <row r="15" spans="1:17">
      <c r="A15" s="61" t="s">
        <v>25</v>
      </c>
      <c r="B15" s="62">
        <v>39552</v>
      </c>
      <c r="C15" s="63">
        <v>3.125E-2</v>
      </c>
      <c r="D15" s="61">
        <v>80</v>
      </c>
      <c r="E15" s="61">
        <v>160</v>
      </c>
      <c r="F15" s="61">
        <v>60</v>
      </c>
      <c r="G15" s="66">
        <v>211</v>
      </c>
      <c r="H15" s="15">
        <f t="shared" si="3"/>
        <v>22.61946710584651</v>
      </c>
      <c r="I15" s="61">
        <v>29</v>
      </c>
      <c r="J15" s="61">
        <v>63</v>
      </c>
      <c r="K15" s="61">
        <v>83</v>
      </c>
      <c r="L15" s="59">
        <f t="shared" ref="L15:N16" si="6">I15/(($E15-$D15)*PI()*(0.3^2))</f>
        <v>1.2820814860180458</v>
      </c>
      <c r="M15" s="59">
        <f t="shared" si="6"/>
        <v>2.7852115041081684</v>
      </c>
      <c r="N15" s="59">
        <f t="shared" si="6"/>
        <v>3.6694056323964759</v>
      </c>
      <c r="O15" s="61">
        <f t="shared" si="4"/>
        <v>102.56651888144367</v>
      </c>
      <c r="P15" s="61">
        <f t="shared" si="4"/>
        <v>222.81692032865348</v>
      </c>
      <c r="Q15" s="61">
        <f t="shared" si="5"/>
        <v>293.55245059171807</v>
      </c>
    </row>
    <row r="16" spans="1:17">
      <c r="A16" s="61" t="s">
        <v>25</v>
      </c>
      <c r="B16" s="62">
        <v>39552</v>
      </c>
      <c r="C16" s="63">
        <v>3.8194444444444441E-2</v>
      </c>
      <c r="D16" s="61">
        <v>36</v>
      </c>
      <c r="E16" s="61">
        <v>80</v>
      </c>
      <c r="F16" s="61">
        <v>60</v>
      </c>
      <c r="G16" s="66">
        <v>211</v>
      </c>
      <c r="H16" s="15">
        <f t="shared" si="3"/>
        <v>12.44070690821558</v>
      </c>
      <c r="I16" s="61">
        <v>79</v>
      </c>
      <c r="J16" s="61">
        <v>27</v>
      </c>
      <c r="K16" s="61">
        <v>128</v>
      </c>
      <c r="L16" s="59">
        <f t="shared" si="6"/>
        <v>6.3501214667978454</v>
      </c>
      <c r="M16" s="59">
        <f t="shared" si="6"/>
        <v>2.1702946785258459</v>
      </c>
      <c r="N16" s="59">
        <f t="shared" si="6"/>
        <v>10.288804401900306</v>
      </c>
      <c r="O16" s="61">
        <f t="shared" si="4"/>
        <v>279.40534453910522</v>
      </c>
      <c r="P16" s="61">
        <f t="shared" si="4"/>
        <v>95.492965855137214</v>
      </c>
      <c r="Q16" s="61">
        <f t="shared" si="5"/>
        <v>452.70739368361347</v>
      </c>
    </row>
    <row r="17" spans="1:17">
      <c r="A17" s="61" t="s">
        <v>25</v>
      </c>
      <c r="B17" s="62">
        <v>39552</v>
      </c>
      <c r="C17" s="63">
        <v>4.2361111111111106E-2</v>
      </c>
      <c r="D17" s="61">
        <v>18</v>
      </c>
      <c r="E17" s="61">
        <v>36</v>
      </c>
      <c r="F17" s="61">
        <v>60</v>
      </c>
      <c r="G17" s="66">
        <v>211</v>
      </c>
      <c r="H17" s="15">
        <f t="shared" si="3"/>
        <v>5.0893800988154645</v>
      </c>
      <c r="I17" s="61">
        <v>47</v>
      </c>
      <c r="J17" s="61"/>
      <c r="K17" s="61">
        <v>56</v>
      </c>
      <c r="L17" s="59">
        <f t="shared" ref="L17:L24" si="7">I17/(PI()*0.3^2)/(E17-D17)</f>
        <v>9.2349164510112107</v>
      </c>
      <c r="N17" s="59">
        <f t="shared" ref="N17:N24" si="8">K17/(PI()*0.3^2)/(E17-D17)</f>
        <v>11.003304707587825</v>
      </c>
      <c r="O17" s="61">
        <f t="shared" si="4"/>
        <v>166.22849611820183</v>
      </c>
      <c r="P17" s="61"/>
      <c r="Q17" s="61">
        <f t="shared" si="5"/>
        <v>198.05948473658088</v>
      </c>
    </row>
    <row r="18" spans="1:17">
      <c r="A18" s="61" t="s">
        <v>25</v>
      </c>
      <c r="B18" s="62">
        <v>39552</v>
      </c>
      <c r="C18" s="63">
        <v>4.5138888888888888E-2</v>
      </c>
      <c r="D18" s="61">
        <v>0</v>
      </c>
      <c r="E18" s="61">
        <v>18</v>
      </c>
      <c r="F18" s="61">
        <v>60</v>
      </c>
      <c r="G18" s="66">
        <v>211</v>
      </c>
      <c r="H18" s="15">
        <f t="shared" si="3"/>
        <v>5.0893800988154645</v>
      </c>
      <c r="I18" s="61">
        <v>34</v>
      </c>
      <c r="J18" s="61"/>
      <c r="K18" s="61">
        <v>114</v>
      </c>
      <c r="L18" s="59">
        <f t="shared" si="7"/>
        <v>6.6805778581783226</v>
      </c>
      <c r="N18" s="59">
        <f t="shared" si="8"/>
        <v>22.399584583303788</v>
      </c>
      <c r="O18" s="61">
        <f t="shared" si="4"/>
        <v>120.25040144720982</v>
      </c>
      <c r="P18" s="61"/>
      <c r="Q18" s="61">
        <f t="shared" si="5"/>
        <v>403.19252249946828</v>
      </c>
    </row>
    <row r="19" spans="1:17">
      <c r="A19" s="61" t="s">
        <v>26</v>
      </c>
      <c r="B19" s="62">
        <v>39552</v>
      </c>
      <c r="C19" s="63">
        <v>0.21319444444444444</v>
      </c>
      <c r="D19" s="61">
        <v>0</v>
      </c>
      <c r="E19" s="61">
        <v>18</v>
      </c>
      <c r="F19" s="61">
        <v>60</v>
      </c>
      <c r="G19" s="66">
        <v>211</v>
      </c>
      <c r="H19" s="15">
        <f t="shared" si="3"/>
        <v>5.0893800988154645</v>
      </c>
      <c r="I19" s="61">
        <v>58</v>
      </c>
      <c r="J19" s="61"/>
      <c r="K19" s="61">
        <v>113</v>
      </c>
      <c r="L19" s="59">
        <f t="shared" si="7"/>
        <v>11.396279875715962</v>
      </c>
      <c r="N19" s="59">
        <f t="shared" si="8"/>
        <v>22.203096999239719</v>
      </c>
      <c r="O19" s="61">
        <f t="shared" si="4"/>
        <v>205.13303776288734</v>
      </c>
      <c r="P19" s="61"/>
      <c r="Q19" s="61">
        <f t="shared" si="5"/>
        <v>399.65574598631503</v>
      </c>
    </row>
    <row r="20" spans="1:17">
      <c r="A20" s="61" t="s">
        <v>26</v>
      </c>
      <c r="B20" s="62">
        <v>39552</v>
      </c>
      <c r="C20" s="63">
        <v>0.21180555555555555</v>
      </c>
      <c r="D20" s="61">
        <v>18</v>
      </c>
      <c r="E20" s="61">
        <v>36</v>
      </c>
      <c r="F20" s="61">
        <v>60</v>
      </c>
      <c r="G20" s="66">
        <v>211</v>
      </c>
      <c r="H20" s="15">
        <f t="shared" si="3"/>
        <v>5.0893800988154645</v>
      </c>
      <c r="I20" s="61">
        <v>35</v>
      </c>
      <c r="J20" s="61"/>
      <c r="K20" s="61">
        <v>106</v>
      </c>
      <c r="L20" s="59">
        <f t="shared" si="7"/>
        <v>6.8770654422423911</v>
      </c>
      <c r="N20" s="59">
        <f t="shared" si="8"/>
        <v>20.82768391079124</v>
      </c>
      <c r="O20" s="61">
        <f t="shared" si="4"/>
        <v>123.78717796036305</v>
      </c>
      <c r="P20" s="61"/>
      <c r="Q20" s="61">
        <f t="shared" si="5"/>
        <v>374.8983103942424</v>
      </c>
    </row>
    <row r="21" spans="1:17">
      <c r="A21" s="61" t="s">
        <v>28</v>
      </c>
      <c r="B21" s="62">
        <v>39552</v>
      </c>
      <c r="C21" s="63">
        <v>0.27361111111111108</v>
      </c>
      <c r="D21" s="61">
        <v>0</v>
      </c>
      <c r="E21" s="61">
        <v>18</v>
      </c>
      <c r="F21" s="61">
        <v>60</v>
      </c>
      <c r="G21" s="66">
        <v>211</v>
      </c>
      <c r="H21" s="15">
        <f t="shared" si="3"/>
        <v>5.0893800988154645</v>
      </c>
      <c r="I21" s="61">
        <v>60</v>
      </c>
      <c r="J21" s="61"/>
      <c r="K21" s="61">
        <v>2</v>
      </c>
      <c r="L21" s="59">
        <f t="shared" si="7"/>
        <v>11.789255043844099</v>
      </c>
      <c r="N21" s="59">
        <f t="shared" si="8"/>
        <v>0.39297516812813665</v>
      </c>
      <c r="O21" s="61">
        <f t="shared" si="4"/>
        <v>212.2065907891938</v>
      </c>
      <c r="P21" s="61"/>
      <c r="Q21" s="61">
        <f t="shared" si="5"/>
        <v>7.0735530263064597</v>
      </c>
    </row>
    <row r="22" spans="1:17">
      <c r="A22" s="61" t="s">
        <v>27</v>
      </c>
      <c r="B22" s="62">
        <v>39552</v>
      </c>
      <c r="C22" s="63">
        <v>0.26805555555555555</v>
      </c>
      <c r="D22" s="61">
        <v>18</v>
      </c>
      <c r="E22" s="61">
        <v>36</v>
      </c>
      <c r="F22" s="61">
        <v>60</v>
      </c>
      <c r="G22" s="66">
        <v>211</v>
      </c>
      <c r="H22" s="15">
        <f t="shared" si="3"/>
        <v>5.0893800988154645</v>
      </c>
      <c r="I22" s="61">
        <v>51</v>
      </c>
      <c r="J22" s="61"/>
      <c r="K22" s="61">
        <v>180</v>
      </c>
      <c r="L22" s="59">
        <f t="shared" si="7"/>
        <v>10.020866787267485</v>
      </c>
      <c r="N22" s="59">
        <f t="shared" si="8"/>
        <v>35.367765131532302</v>
      </c>
      <c r="O22" s="61">
        <f t="shared" si="4"/>
        <v>180.37560217081472</v>
      </c>
      <c r="P22" s="61"/>
      <c r="Q22" s="61">
        <f t="shared" si="5"/>
        <v>636.61977236758139</v>
      </c>
    </row>
    <row r="23" spans="1:17">
      <c r="A23" s="61" t="s">
        <v>29</v>
      </c>
      <c r="B23" s="62">
        <v>39552</v>
      </c>
      <c r="C23" s="63">
        <v>0.33888888888888885</v>
      </c>
      <c r="D23" s="61">
        <v>0</v>
      </c>
      <c r="E23" s="61">
        <v>18</v>
      </c>
      <c r="F23" s="61">
        <v>60</v>
      </c>
      <c r="G23" s="66">
        <v>211</v>
      </c>
      <c r="H23" s="15">
        <f t="shared" si="3"/>
        <v>5.0893800988154645</v>
      </c>
      <c r="I23" s="61">
        <v>30</v>
      </c>
      <c r="J23" s="61"/>
      <c r="K23" s="61">
        <v>0</v>
      </c>
      <c r="L23" s="59">
        <f t="shared" si="7"/>
        <v>5.8946275219220494</v>
      </c>
      <c r="N23" s="59">
        <f t="shared" si="8"/>
        <v>0</v>
      </c>
      <c r="O23" s="61">
        <f t="shared" si="4"/>
        <v>106.1032953945969</v>
      </c>
      <c r="P23" s="61"/>
      <c r="Q23" s="61">
        <f t="shared" si="5"/>
        <v>0</v>
      </c>
    </row>
    <row r="24" spans="1:17">
      <c r="A24" s="61" t="s">
        <v>29</v>
      </c>
      <c r="B24" s="62">
        <v>39552</v>
      </c>
      <c r="C24" s="63">
        <v>0.33750000000000002</v>
      </c>
      <c r="D24" s="61">
        <v>18</v>
      </c>
      <c r="E24" s="61">
        <v>36</v>
      </c>
      <c r="F24" s="61">
        <v>60</v>
      </c>
      <c r="G24" s="66">
        <v>211</v>
      </c>
      <c r="H24" s="15">
        <f t="shared" si="3"/>
        <v>5.0893800988154645</v>
      </c>
      <c r="I24" s="61">
        <v>51</v>
      </c>
      <c r="J24" s="61"/>
      <c r="K24" s="61">
        <v>4</v>
      </c>
      <c r="L24" s="59">
        <f t="shared" si="7"/>
        <v>10.020866787267485</v>
      </c>
      <c r="N24" s="59">
        <f t="shared" si="8"/>
        <v>0.78595033625627331</v>
      </c>
      <c r="O24" s="61">
        <f t="shared" si="4"/>
        <v>180.37560217081472</v>
      </c>
      <c r="P24" s="61"/>
      <c r="Q24" s="61">
        <f t="shared" si="5"/>
        <v>14.147106052612919</v>
      </c>
    </row>
    <row r="25" spans="1:17">
      <c r="B25" s="62"/>
      <c r="C25" s="63"/>
      <c r="D25" s="61"/>
      <c r="E25" s="61"/>
      <c r="F25" s="61"/>
      <c r="G25" s="66"/>
      <c r="H25" s="15"/>
      <c r="I25" s="61"/>
      <c r="J25" s="61"/>
      <c r="K25" s="61"/>
      <c r="O25" s="61" t="e">
        <f t="shared" si="4"/>
        <v>#DIV/0!</v>
      </c>
      <c r="P25" s="61"/>
      <c r="Q25" s="61" t="e">
        <f t="shared" si="5"/>
        <v>#DIV/0!</v>
      </c>
    </row>
    <row r="26" spans="1:17">
      <c r="A26" s="61" t="s">
        <v>30</v>
      </c>
      <c r="B26" s="62">
        <v>39552</v>
      </c>
      <c r="C26" s="63">
        <v>0.80972222222222223</v>
      </c>
      <c r="D26" s="61">
        <v>0</v>
      </c>
      <c r="E26" s="61">
        <v>18</v>
      </c>
      <c r="F26" s="61">
        <v>60</v>
      </c>
      <c r="G26" s="66">
        <v>211</v>
      </c>
      <c r="H26" s="15">
        <f t="shared" si="3"/>
        <v>5.0893800988154645</v>
      </c>
      <c r="I26" s="61">
        <v>24</v>
      </c>
      <c r="J26" s="61"/>
      <c r="K26" s="61">
        <v>0</v>
      </c>
      <c r="L26" s="59">
        <f t="shared" ref="L26:L35" si="9">I26/(PI()*0.3^2)/(E26-D26)</f>
        <v>4.7157020175376401</v>
      </c>
      <c r="N26" s="59">
        <f t="shared" ref="N26:N35" si="10">K26/(PI()*0.3^2)/(E26-D26)</f>
        <v>0</v>
      </c>
      <c r="O26" s="61">
        <f t="shared" si="4"/>
        <v>84.882636315677516</v>
      </c>
      <c r="P26" s="61"/>
      <c r="Q26" s="61">
        <f t="shared" si="5"/>
        <v>0</v>
      </c>
    </row>
    <row r="27" spans="1:17">
      <c r="A27" s="61" t="s">
        <v>30</v>
      </c>
      <c r="B27" s="62">
        <v>39552</v>
      </c>
      <c r="C27" s="63">
        <v>0.80625000000000002</v>
      </c>
      <c r="D27" s="61">
        <v>18</v>
      </c>
      <c r="E27" s="61">
        <v>36</v>
      </c>
      <c r="F27" s="61">
        <v>60</v>
      </c>
      <c r="G27" s="66">
        <v>211</v>
      </c>
      <c r="H27" s="15">
        <f t="shared" si="3"/>
        <v>5.0893800988154645</v>
      </c>
      <c r="I27" s="61">
        <v>90</v>
      </c>
      <c r="J27" s="61"/>
      <c r="K27" s="61">
        <v>0</v>
      </c>
      <c r="L27" s="59">
        <f t="shared" si="9"/>
        <v>17.683882565766151</v>
      </c>
      <c r="N27" s="59">
        <f t="shared" si="10"/>
        <v>0</v>
      </c>
      <c r="O27" s="61">
        <f t="shared" si="4"/>
        <v>318.3098861837907</v>
      </c>
      <c r="P27" s="61"/>
      <c r="Q27" s="61">
        <f t="shared" si="5"/>
        <v>0</v>
      </c>
    </row>
    <row r="28" spans="1:17">
      <c r="A28" s="61" t="s">
        <v>31</v>
      </c>
      <c r="B28" s="62">
        <v>39552</v>
      </c>
      <c r="C28" s="63">
        <v>0.85624999999999996</v>
      </c>
      <c r="D28" s="61">
        <v>0</v>
      </c>
      <c r="E28" s="61">
        <v>18</v>
      </c>
      <c r="F28" s="61">
        <v>60</v>
      </c>
      <c r="G28" s="66">
        <v>211</v>
      </c>
      <c r="H28" s="15">
        <f t="shared" si="3"/>
        <v>5.0893800988154645</v>
      </c>
      <c r="I28" s="61">
        <v>24</v>
      </c>
      <c r="J28" s="61"/>
      <c r="K28" s="61">
        <v>16</v>
      </c>
      <c r="L28" s="59">
        <f t="shared" si="9"/>
        <v>4.7157020175376401</v>
      </c>
      <c r="N28" s="59">
        <f t="shared" si="10"/>
        <v>3.1438013450250932</v>
      </c>
      <c r="O28" s="61">
        <f t="shared" si="4"/>
        <v>84.882636315677516</v>
      </c>
      <c r="P28" s="61"/>
      <c r="Q28" s="61">
        <f t="shared" si="5"/>
        <v>56.588424210451677</v>
      </c>
    </row>
    <row r="29" spans="1:17">
      <c r="A29" s="61" t="s">
        <v>31</v>
      </c>
      <c r="B29" s="62">
        <v>39552</v>
      </c>
      <c r="C29" s="63">
        <v>0.85416666666666663</v>
      </c>
      <c r="D29" s="61">
        <v>18</v>
      </c>
      <c r="E29" s="61">
        <v>36</v>
      </c>
      <c r="F29" s="61">
        <v>60</v>
      </c>
      <c r="G29" s="66">
        <v>211</v>
      </c>
      <c r="H29" s="15">
        <f t="shared" si="3"/>
        <v>5.0893800988154645</v>
      </c>
      <c r="I29" s="61">
        <v>89</v>
      </c>
      <c r="J29" s="61"/>
      <c r="K29" s="61">
        <v>30</v>
      </c>
      <c r="L29" s="59">
        <f t="shared" si="9"/>
        <v>17.487394981702082</v>
      </c>
      <c r="N29" s="59">
        <f t="shared" si="10"/>
        <v>5.8946275219220494</v>
      </c>
      <c r="O29" s="61">
        <f t="shared" si="4"/>
        <v>314.7731096706375</v>
      </c>
      <c r="P29" s="61"/>
      <c r="Q29" s="61">
        <f t="shared" si="5"/>
        <v>106.1032953945969</v>
      </c>
    </row>
    <row r="30" spans="1:17">
      <c r="A30" s="61" t="s">
        <v>32</v>
      </c>
      <c r="B30" s="62">
        <v>39552</v>
      </c>
      <c r="C30" s="63">
        <v>0.90138888888888891</v>
      </c>
      <c r="D30" s="61">
        <v>0</v>
      </c>
      <c r="E30" s="61">
        <v>18</v>
      </c>
      <c r="F30" s="61">
        <v>60</v>
      </c>
      <c r="G30" s="66">
        <v>211</v>
      </c>
      <c r="H30" s="15">
        <f t="shared" si="3"/>
        <v>5.0893800988154645</v>
      </c>
      <c r="I30" s="61">
        <v>40</v>
      </c>
      <c r="J30" s="61"/>
      <c r="K30" s="61">
        <v>49</v>
      </c>
      <c r="L30" s="59">
        <f t="shared" si="9"/>
        <v>7.859503362562732</v>
      </c>
      <c r="N30" s="59">
        <f t="shared" si="10"/>
        <v>9.6278916191393478</v>
      </c>
      <c r="O30" s="61">
        <f t="shared" si="4"/>
        <v>141.47106052612921</v>
      </c>
      <c r="P30" s="61"/>
      <c r="Q30" s="61">
        <f t="shared" si="5"/>
        <v>173.30204914450826</v>
      </c>
    </row>
    <row r="31" spans="1:17">
      <c r="A31" s="61" t="s">
        <v>32</v>
      </c>
      <c r="B31" s="62">
        <v>39552</v>
      </c>
      <c r="C31" s="63">
        <v>0.89930555555555547</v>
      </c>
      <c r="D31" s="61">
        <v>18</v>
      </c>
      <c r="E31" s="61">
        <v>36</v>
      </c>
      <c r="F31" s="61">
        <v>60</v>
      </c>
      <c r="G31" s="66">
        <v>211</v>
      </c>
      <c r="H31" s="15">
        <f t="shared" si="3"/>
        <v>5.0893800988154645</v>
      </c>
      <c r="I31" s="61">
        <v>81</v>
      </c>
      <c r="J31" s="61"/>
      <c r="K31" s="61">
        <v>41</v>
      </c>
      <c r="L31" s="59">
        <f t="shared" si="9"/>
        <v>15.915494309189533</v>
      </c>
      <c r="N31" s="59">
        <f t="shared" si="10"/>
        <v>8.0559909466267996</v>
      </c>
      <c r="O31" s="61">
        <f t="shared" si="4"/>
        <v>286.47889756541161</v>
      </c>
      <c r="P31" s="61"/>
      <c r="Q31" s="61">
        <f t="shared" si="5"/>
        <v>145.00783703928244</v>
      </c>
    </row>
    <row r="32" spans="1:17">
      <c r="A32" s="61" t="s">
        <v>33</v>
      </c>
      <c r="B32" s="62">
        <v>39552</v>
      </c>
      <c r="C32" s="63">
        <v>0.94444444444444453</v>
      </c>
      <c r="D32" s="61">
        <v>0</v>
      </c>
      <c r="E32" s="61">
        <v>18</v>
      </c>
      <c r="F32" s="61">
        <v>60</v>
      </c>
      <c r="G32" s="66">
        <v>211</v>
      </c>
      <c r="H32" s="15">
        <f t="shared" si="3"/>
        <v>5.0893800988154645</v>
      </c>
      <c r="I32" s="61">
        <v>19</v>
      </c>
      <c r="J32" s="61"/>
      <c r="K32" s="61">
        <v>48</v>
      </c>
      <c r="L32" s="59">
        <f t="shared" si="9"/>
        <v>3.7332640972172979</v>
      </c>
      <c r="N32" s="59">
        <f t="shared" si="10"/>
        <v>9.4314040350752801</v>
      </c>
      <c r="O32" s="61">
        <f t="shared" si="4"/>
        <v>67.198753749911376</v>
      </c>
      <c r="P32" s="61"/>
      <c r="Q32" s="61">
        <f t="shared" si="5"/>
        <v>169.76527263135503</v>
      </c>
    </row>
    <row r="33" spans="1:17">
      <c r="A33" s="61" t="s">
        <v>33</v>
      </c>
      <c r="B33" s="62">
        <v>39552</v>
      </c>
      <c r="C33" s="63">
        <v>0.94166666666666676</v>
      </c>
      <c r="D33" s="61">
        <v>18</v>
      </c>
      <c r="E33" s="61">
        <v>36</v>
      </c>
      <c r="F33" s="61">
        <v>60</v>
      </c>
      <c r="G33" s="66">
        <v>211</v>
      </c>
      <c r="H33" s="15">
        <f t="shared" si="3"/>
        <v>5.0893800988154645</v>
      </c>
      <c r="I33" s="61">
        <v>65</v>
      </c>
      <c r="J33" s="61"/>
      <c r="K33" s="61">
        <v>30</v>
      </c>
      <c r="L33" s="59">
        <f t="shared" si="9"/>
        <v>12.771692964164441</v>
      </c>
      <c r="N33" s="59">
        <f t="shared" si="10"/>
        <v>5.8946275219220494</v>
      </c>
      <c r="O33" s="61">
        <f t="shared" si="4"/>
        <v>229.89047335495997</v>
      </c>
      <c r="P33" s="61"/>
      <c r="Q33" s="61">
        <f t="shared" si="5"/>
        <v>106.1032953945969</v>
      </c>
    </row>
    <row r="34" spans="1:17">
      <c r="A34" s="61" t="s">
        <v>34</v>
      </c>
      <c r="B34" s="62">
        <v>39552</v>
      </c>
      <c r="C34" s="63">
        <v>0.98472222222222217</v>
      </c>
      <c r="D34" s="61">
        <v>0</v>
      </c>
      <c r="E34" s="61">
        <v>18</v>
      </c>
      <c r="F34" s="61">
        <v>60</v>
      </c>
      <c r="G34" s="66">
        <v>211</v>
      </c>
      <c r="H34" s="15">
        <f t="shared" si="3"/>
        <v>5.0893800988154645</v>
      </c>
      <c r="I34" s="61">
        <v>35</v>
      </c>
      <c r="J34" s="61"/>
      <c r="K34" s="61">
        <v>68</v>
      </c>
      <c r="L34" s="59">
        <f t="shared" si="9"/>
        <v>6.8770654422423911</v>
      </c>
      <c r="N34" s="59">
        <f t="shared" si="10"/>
        <v>13.361155716356645</v>
      </c>
      <c r="O34" s="61">
        <f t="shared" si="4"/>
        <v>123.78717796036305</v>
      </c>
      <c r="P34" s="61"/>
      <c r="Q34" s="61">
        <f t="shared" si="5"/>
        <v>240.50080289441965</v>
      </c>
    </row>
    <row r="35" spans="1:17">
      <c r="A35" s="61" t="s">
        <v>34</v>
      </c>
      <c r="B35" s="62">
        <v>39552</v>
      </c>
      <c r="C35" s="63">
        <v>0.98263888888888884</v>
      </c>
      <c r="D35" s="61">
        <v>18</v>
      </c>
      <c r="E35" s="61">
        <v>36</v>
      </c>
      <c r="F35" s="61">
        <v>60</v>
      </c>
      <c r="G35" s="66">
        <v>211</v>
      </c>
      <c r="H35" s="15">
        <f t="shared" si="3"/>
        <v>5.0893800988154645</v>
      </c>
      <c r="I35" s="61">
        <v>67</v>
      </c>
      <c r="J35" s="61"/>
      <c r="K35" s="61">
        <v>34</v>
      </c>
      <c r="L35" s="59">
        <f t="shared" si="9"/>
        <v>13.164668132292578</v>
      </c>
      <c r="N35" s="59">
        <f t="shared" si="10"/>
        <v>6.6805778581783226</v>
      </c>
      <c r="O35" s="61">
        <f t="shared" si="4"/>
        <v>236.96402638126642</v>
      </c>
      <c r="P35" s="61"/>
      <c r="Q35" s="61">
        <f t="shared" si="5"/>
        <v>120.25040144720982</v>
      </c>
    </row>
    <row r="36" spans="1:17">
      <c r="A36" s="61" t="s">
        <v>43</v>
      </c>
      <c r="B36" s="62">
        <v>39552</v>
      </c>
      <c r="C36" s="63">
        <v>2.5694444444444447E-2</v>
      </c>
      <c r="D36" s="61">
        <v>80</v>
      </c>
      <c r="E36" s="61">
        <v>160</v>
      </c>
      <c r="F36" s="61">
        <v>60</v>
      </c>
      <c r="G36" s="66">
        <v>211</v>
      </c>
      <c r="H36" s="15">
        <f t="shared" si="3"/>
        <v>22.61946710584651</v>
      </c>
      <c r="I36" s="61">
        <v>36</v>
      </c>
      <c r="J36" s="61">
        <v>72</v>
      </c>
      <c r="K36" s="61">
        <v>113</v>
      </c>
      <c r="L36" s="59">
        <f t="shared" ref="L36:N37" si="11">I36/(($E36-$D36)*PI()*(0.3^2))</f>
        <v>1.5915494309189535</v>
      </c>
      <c r="M36" s="59">
        <f t="shared" si="11"/>
        <v>3.183098861837907</v>
      </c>
      <c r="N36" s="59">
        <f t="shared" si="11"/>
        <v>4.9956968248289373</v>
      </c>
      <c r="O36" s="61">
        <f t="shared" si="4"/>
        <v>127.32395447351628</v>
      </c>
      <c r="P36" s="61">
        <f t="shared" si="4"/>
        <v>254.64790894703256</v>
      </c>
      <c r="Q36" s="61">
        <f t="shared" si="5"/>
        <v>399.65574598631497</v>
      </c>
    </row>
    <row r="37" spans="1:17">
      <c r="A37" s="61" t="s">
        <v>43</v>
      </c>
      <c r="B37" s="62">
        <v>39552</v>
      </c>
      <c r="C37" s="63">
        <v>3.4027777777777775E-2</v>
      </c>
      <c r="D37" s="61">
        <v>36</v>
      </c>
      <c r="E37" s="61">
        <v>80</v>
      </c>
      <c r="F37" s="61">
        <v>60</v>
      </c>
      <c r="G37" s="66">
        <v>211</v>
      </c>
      <c r="H37" s="15">
        <f t="shared" si="3"/>
        <v>12.44070690821558</v>
      </c>
      <c r="I37" s="61">
        <v>69</v>
      </c>
      <c r="J37" s="61">
        <v>20</v>
      </c>
      <c r="K37" s="61">
        <v>126</v>
      </c>
      <c r="L37" s="59">
        <f t="shared" si="11"/>
        <v>5.5463086228993834</v>
      </c>
      <c r="M37" s="59">
        <f t="shared" si="11"/>
        <v>1.6076256877969228</v>
      </c>
      <c r="N37" s="59">
        <f t="shared" si="11"/>
        <v>10.128041833120614</v>
      </c>
      <c r="O37" s="61">
        <f t="shared" si="4"/>
        <v>244.03757940757288</v>
      </c>
      <c r="P37" s="61">
        <f t="shared" si="4"/>
        <v>70.735530263064604</v>
      </c>
      <c r="Q37" s="61">
        <f t="shared" si="5"/>
        <v>445.63384065730702</v>
      </c>
    </row>
    <row r="38" spans="1:17">
      <c r="A38" s="61" t="s">
        <v>43</v>
      </c>
      <c r="B38" s="62">
        <v>39553</v>
      </c>
      <c r="C38" s="63">
        <v>3.6805555555555557E-2</v>
      </c>
      <c r="D38" s="61">
        <v>18</v>
      </c>
      <c r="E38" s="61">
        <v>36</v>
      </c>
      <c r="F38" s="61">
        <v>60</v>
      </c>
      <c r="G38" s="66">
        <v>211</v>
      </c>
      <c r="H38" s="15">
        <f t="shared" si="3"/>
        <v>5.0893800988154645</v>
      </c>
      <c r="I38" s="61">
        <v>43</v>
      </c>
      <c r="J38" s="61"/>
      <c r="K38" s="61">
        <v>35</v>
      </c>
      <c r="L38" s="59">
        <f t="shared" ref="L38:L49" si="12">I38/(PI()*0.3^2)/(E38-D38)</f>
        <v>8.4489661147549366</v>
      </c>
      <c r="N38" s="59">
        <f t="shared" ref="N38:N49" si="13">K38/(PI()*0.3^2)/(E38-D38)</f>
        <v>6.8770654422423911</v>
      </c>
      <c r="O38" s="61">
        <f t="shared" si="4"/>
        <v>152.08139006558889</v>
      </c>
      <c r="P38" s="61"/>
      <c r="Q38" s="61">
        <f t="shared" si="5"/>
        <v>123.78717796036305</v>
      </c>
    </row>
    <row r="39" spans="1:17">
      <c r="A39" s="61" t="s">
        <v>18</v>
      </c>
      <c r="B39" s="62">
        <v>39553</v>
      </c>
      <c r="C39" s="63">
        <v>4.1666666666666664E-2</v>
      </c>
      <c r="D39" s="61">
        <v>0</v>
      </c>
      <c r="E39" s="61">
        <v>18</v>
      </c>
      <c r="F39" s="61">
        <v>60</v>
      </c>
      <c r="G39" s="66">
        <v>211</v>
      </c>
      <c r="H39" s="15">
        <f t="shared" si="3"/>
        <v>5.0893800988154645</v>
      </c>
      <c r="I39" s="61">
        <v>41</v>
      </c>
      <c r="J39" s="61"/>
      <c r="K39" s="61">
        <v>84</v>
      </c>
      <c r="L39" s="59">
        <f t="shared" si="12"/>
        <v>8.0559909466267996</v>
      </c>
      <c r="N39" s="59">
        <f t="shared" si="13"/>
        <v>16.504957061381738</v>
      </c>
      <c r="O39" s="61">
        <f t="shared" si="4"/>
        <v>145.00783703928244</v>
      </c>
      <c r="P39" s="61"/>
      <c r="Q39" s="61">
        <f t="shared" si="5"/>
        <v>297.08922710487133</v>
      </c>
    </row>
    <row r="40" spans="1:17">
      <c r="A40" s="61" t="s">
        <v>35</v>
      </c>
      <c r="B40" s="62">
        <v>39553</v>
      </c>
      <c r="C40" s="63">
        <v>0.21319444444444444</v>
      </c>
      <c r="D40" s="61">
        <v>0</v>
      </c>
      <c r="E40" s="61">
        <v>18</v>
      </c>
      <c r="F40" s="61">
        <v>60</v>
      </c>
      <c r="G40" s="66">
        <v>211</v>
      </c>
      <c r="H40" s="15">
        <f t="shared" si="3"/>
        <v>5.0893800988154645</v>
      </c>
      <c r="I40" s="61">
        <v>22</v>
      </c>
      <c r="J40" s="61"/>
      <c r="K40" s="61">
        <v>70</v>
      </c>
      <c r="L40" s="59">
        <f t="shared" si="12"/>
        <v>4.322726849409503</v>
      </c>
      <c r="N40" s="59">
        <f t="shared" si="13"/>
        <v>13.754130884484782</v>
      </c>
      <c r="O40" s="61">
        <f t="shared" si="4"/>
        <v>77.80908328937106</v>
      </c>
      <c r="P40" s="61"/>
      <c r="Q40" s="61">
        <f t="shared" si="5"/>
        <v>247.57435592072611</v>
      </c>
    </row>
    <row r="41" spans="1:17">
      <c r="A41" s="61" t="s">
        <v>35</v>
      </c>
      <c r="B41" s="62">
        <v>39553</v>
      </c>
      <c r="C41" s="63">
        <v>0.21111111111111111</v>
      </c>
      <c r="D41" s="61">
        <v>18</v>
      </c>
      <c r="E41" s="61">
        <v>36</v>
      </c>
      <c r="F41" s="61">
        <v>60</v>
      </c>
      <c r="G41" s="66">
        <v>211</v>
      </c>
      <c r="H41" s="15">
        <f t="shared" si="3"/>
        <v>5.0893800988154645</v>
      </c>
      <c r="I41" s="61">
        <v>34</v>
      </c>
      <c r="J41" s="61"/>
      <c r="K41" s="61">
        <v>67</v>
      </c>
      <c r="L41" s="59">
        <f t="shared" si="12"/>
        <v>6.6805778581783226</v>
      </c>
      <c r="N41" s="59">
        <f t="shared" si="13"/>
        <v>13.164668132292578</v>
      </c>
      <c r="O41" s="61">
        <f t="shared" si="4"/>
        <v>120.25040144720982</v>
      </c>
      <c r="P41" s="61"/>
      <c r="Q41" s="61">
        <f t="shared" si="5"/>
        <v>236.96402638126642</v>
      </c>
    </row>
    <row r="42" spans="1:17">
      <c r="A42" s="61" t="s">
        <v>36</v>
      </c>
      <c r="B42" s="62">
        <v>39553</v>
      </c>
      <c r="C42" s="63">
        <v>0.26805555555555555</v>
      </c>
      <c r="D42" s="61">
        <v>0</v>
      </c>
      <c r="E42" s="61">
        <v>18</v>
      </c>
      <c r="F42" s="61">
        <v>60</v>
      </c>
      <c r="G42" s="66">
        <v>211</v>
      </c>
      <c r="H42" s="15">
        <f t="shared" si="3"/>
        <v>5.0893800988154645</v>
      </c>
      <c r="I42" s="61">
        <v>16</v>
      </c>
      <c r="J42" s="61"/>
      <c r="K42" s="61">
        <v>1</v>
      </c>
      <c r="L42" s="59">
        <f t="shared" si="12"/>
        <v>3.1438013450250932</v>
      </c>
      <c r="N42" s="59">
        <f t="shared" si="13"/>
        <v>0.19648758406406833</v>
      </c>
      <c r="O42" s="61">
        <f t="shared" si="4"/>
        <v>56.588424210451677</v>
      </c>
      <c r="P42" s="61"/>
      <c r="Q42" s="61">
        <f t="shared" si="5"/>
        <v>3.5367765131532298</v>
      </c>
    </row>
    <row r="43" spans="1:17">
      <c r="A43" s="61" t="s">
        <v>36</v>
      </c>
      <c r="B43" s="62">
        <v>39553</v>
      </c>
      <c r="C43" s="63">
        <v>0.26458333333333334</v>
      </c>
      <c r="D43" s="61">
        <v>18</v>
      </c>
      <c r="E43" s="61">
        <v>36</v>
      </c>
      <c r="F43" s="61">
        <v>60</v>
      </c>
      <c r="G43" s="66">
        <v>211</v>
      </c>
      <c r="H43" s="15">
        <f t="shared" si="3"/>
        <v>5.0893800988154645</v>
      </c>
      <c r="I43" s="61">
        <v>36</v>
      </c>
      <c r="J43" s="61"/>
      <c r="K43" s="61">
        <v>62</v>
      </c>
      <c r="L43" s="59">
        <f t="shared" si="12"/>
        <v>7.0735530263064597</v>
      </c>
      <c r="N43" s="59">
        <f t="shared" si="13"/>
        <v>12.182230211972236</v>
      </c>
      <c r="O43" s="61">
        <f t="shared" si="4"/>
        <v>127.3239544735163</v>
      </c>
      <c r="P43" s="61"/>
      <c r="Q43" s="61">
        <f t="shared" si="5"/>
        <v>219.28014381550028</v>
      </c>
    </row>
    <row r="44" spans="1:17">
      <c r="A44" s="61" t="s">
        <v>37</v>
      </c>
      <c r="B44" s="62">
        <v>39553</v>
      </c>
      <c r="C44" s="63">
        <v>0.3125</v>
      </c>
      <c r="D44" s="61">
        <v>0</v>
      </c>
      <c r="E44" s="61">
        <v>18</v>
      </c>
      <c r="F44" s="61">
        <v>60</v>
      </c>
      <c r="G44" s="66">
        <v>211</v>
      </c>
      <c r="H44" s="15">
        <f t="shared" si="3"/>
        <v>5.0893800988154645</v>
      </c>
      <c r="I44" s="61">
        <v>19</v>
      </c>
      <c r="J44" s="61"/>
      <c r="K44" s="61">
        <v>0</v>
      </c>
      <c r="L44" s="59">
        <f t="shared" si="12"/>
        <v>3.7332640972172979</v>
      </c>
      <c r="N44" s="59">
        <f t="shared" si="13"/>
        <v>0</v>
      </c>
      <c r="O44" s="61">
        <f t="shared" si="4"/>
        <v>67.198753749911376</v>
      </c>
      <c r="P44" s="61"/>
      <c r="Q44" s="61">
        <f t="shared" si="5"/>
        <v>0</v>
      </c>
    </row>
    <row r="45" spans="1:17">
      <c r="A45" s="61" t="s">
        <v>38</v>
      </c>
      <c r="B45" s="62">
        <v>39553</v>
      </c>
      <c r="C45" s="63">
        <v>0.30902777777777779</v>
      </c>
      <c r="D45" s="61">
        <v>18</v>
      </c>
      <c r="E45" s="61">
        <v>36</v>
      </c>
      <c r="F45" s="61">
        <v>60</v>
      </c>
      <c r="G45" s="66">
        <v>211</v>
      </c>
      <c r="H45" s="15">
        <f t="shared" si="3"/>
        <v>5.0893800988154645</v>
      </c>
      <c r="I45" s="61">
        <v>28</v>
      </c>
      <c r="J45" s="61"/>
      <c r="K45" s="61">
        <v>0</v>
      </c>
      <c r="L45" s="59">
        <f t="shared" si="12"/>
        <v>5.5016523537939124</v>
      </c>
      <c r="N45" s="59">
        <f t="shared" si="13"/>
        <v>0</v>
      </c>
      <c r="O45" s="61">
        <f t="shared" si="4"/>
        <v>99.029742368290442</v>
      </c>
      <c r="P45" s="61"/>
      <c r="Q45" s="61">
        <f t="shared" si="5"/>
        <v>0</v>
      </c>
    </row>
    <row r="46" spans="1:17">
      <c r="A46" s="61" t="s">
        <v>39</v>
      </c>
      <c r="B46" s="62">
        <v>39553</v>
      </c>
      <c r="C46" s="63">
        <v>0.3611111111111111</v>
      </c>
      <c r="D46" s="61">
        <v>0</v>
      </c>
      <c r="E46" s="61">
        <v>18</v>
      </c>
      <c r="F46" s="61">
        <v>60</v>
      </c>
      <c r="G46" s="66">
        <v>211</v>
      </c>
      <c r="H46" s="15">
        <f t="shared" si="3"/>
        <v>5.0893800988154645</v>
      </c>
      <c r="I46" s="61">
        <v>11</v>
      </c>
      <c r="J46" s="61"/>
      <c r="K46" s="61">
        <v>0</v>
      </c>
      <c r="L46" s="59">
        <f t="shared" si="12"/>
        <v>2.1613634247047515</v>
      </c>
      <c r="N46" s="59">
        <f t="shared" si="13"/>
        <v>0</v>
      </c>
      <c r="O46" s="61">
        <f t="shared" si="4"/>
        <v>38.90454164468553</v>
      </c>
      <c r="P46" s="61"/>
      <c r="Q46" s="61">
        <f t="shared" si="5"/>
        <v>0</v>
      </c>
    </row>
    <row r="47" spans="1:17">
      <c r="A47" s="61" t="s">
        <v>40</v>
      </c>
      <c r="B47" s="62">
        <v>39553</v>
      </c>
      <c r="C47" s="63">
        <v>0.35694444444444445</v>
      </c>
      <c r="D47" s="61">
        <v>18</v>
      </c>
      <c r="E47" s="61">
        <v>36</v>
      </c>
      <c r="F47" s="61">
        <v>60</v>
      </c>
      <c r="G47" s="66">
        <v>211</v>
      </c>
      <c r="H47" s="15">
        <f t="shared" si="3"/>
        <v>5.0893800988154645</v>
      </c>
      <c r="I47" s="61">
        <v>33</v>
      </c>
      <c r="J47" s="61"/>
      <c r="K47" s="61">
        <v>1</v>
      </c>
      <c r="L47" s="59">
        <f t="shared" si="12"/>
        <v>6.484090274114255</v>
      </c>
      <c r="N47" s="59">
        <f t="shared" si="13"/>
        <v>0.19648758406406833</v>
      </c>
      <c r="O47" s="61">
        <f t="shared" si="4"/>
        <v>116.71362493405658</v>
      </c>
      <c r="P47" s="61"/>
      <c r="Q47" s="61">
        <f t="shared" si="5"/>
        <v>3.5367765131532298</v>
      </c>
    </row>
    <row r="48" spans="1:17">
      <c r="A48" s="61" t="s">
        <v>41</v>
      </c>
      <c r="B48" s="62">
        <v>39553</v>
      </c>
      <c r="C48" s="63">
        <v>0.38055555555555554</v>
      </c>
      <c r="D48" s="61">
        <v>0</v>
      </c>
      <c r="E48" s="61">
        <v>18</v>
      </c>
      <c r="F48" s="61">
        <v>60</v>
      </c>
      <c r="G48" s="66">
        <v>211</v>
      </c>
      <c r="H48" s="15">
        <f t="shared" si="3"/>
        <v>5.0893800988154645</v>
      </c>
      <c r="I48" s="61">
        <v>12</v>
      </c>
      <c r="J48" s="61"/>
      <c r="K48" s="61">
        <v>1</v>
      </c>
      <c r="L48" s="59">
        <f t="shared" si="12"/>
        <v>2.35785100876882</v>
      </c>
      <c r="N48" s="59">
        <f t="shared" si="13"/>
        <v>0.19648758406406833</v>
      </c>
      <c r="O48" s="61">
        <f t="shared" si="4"/>
        <v>42.441318157838758</v>
      </c>
      <c r="P48" s="61"/>
      <c r="Q48" s="61">
        <f t="shared" si="5"/>
        <v>3.5367765131532298</v>
      </c>
    </row>
    <row r="49" spans="1:17">
      <c r="A49" s="61" t="s">
        <v>42</v>
      </c>
      <c r="B49" s="62">
        <v>39553</v>
      </c>
      <c r="C49" s="63">
        <v>0.37847222222222227</v>
      </c>
      <c r="D49" s="61">
        <v>18</v>
      </c>
      <c r="E49" s="61">
        <v>36</v>
      </c>
      <c r="F49" s="61">
        <v>60</v>
      </c>
      <c r="G49" s="66">
        <v>211</v>
      </c>
      <c r="H49" s="15">
        <f t="shared" si="3"/>
        <v>5.0893800988154645</v>
      </c>
      <c r="I49" s="61">
        <v>41</v>
      </c>
      <c r="J49" s="61"/>
      <c r="K49" s="61">
        <v>3</v>
      </c>
      <c r="L49" s="59">
        <f t="shared" si="12"/>
        <v>8.0559909466267996</v>
      </c>
      <c r="N49" s="59">
        <f t="shared" si="13"/>
        <v>0.58946275219220501</v>
      </c>
      <c r="O49" s="61">
        <f t="shared" si="4"/>
        <v>145.00783703928244</v>
      </c>
      <c r="P49" s="61"/>
      <c r="Q49" s="61">
        <f t="shared" si="5"/>
        <v>10.610329539459689</v>
      </c>
    </row>
    <row r="50" spans="1:17">
      <c r="B50" s="64"/>
      <c r="C50" s="64"/>
      <c r="D50" s="64"/>
      <c r="E50" s="61"/>
      <c r="F50" s="61"/>
      <c r="G50" s="66"/>
      <c r="H50" s="65"/>
      <c r="K50" s="64"/>
      <c r="P50" s="65"/>
    </row>
    <row r="51" spans="1:17">
      <c r="B51" s="64"/>
      <c r="C51" s="64"/>
      <c r="D51" s="64"/>
      <c r="E51" s="61"/>
      <c r="F51" s="61"/>
      <c r="G51" s="66"/>
      <c r="H51" s="65"/>
      <c r="K51" s="64"/>
      <c r="P51" s="65"/>
    </row>
    <row r="52" spans="1:17">
      <c r="B52" s="64"/>
      <c r="C52" s="64"/>
      <c r="D52" s="64"/>
      <c r="E52" s="61"/>
      <c r="F52" s="61"/>
      <c r="G52" s="66"/>
      <c r="H52" s="65"/>
      <c r="K52" s="64"/>
      <c r="P52" s="65"/>
    </row>
    <row r="53" spans="1:17">
      <c r="B53" s="64"/>
      <c r="C53" s="64"/>
      <c r="D53" s="64"/>
      <c r="E53" s="61"/>
      <c r="F53" s="61"/>
      <c r="G53" s="66"/>
      <c r="H53" s="65"/>
      <c r="K53" s="64"/>
      <c r="P53" s="65"/>
    </row>
    <row r="54" spans="1:17">
      <c r="B54" s="64"/>
      <c r="C54" s="64"/>
      <c r="D54" s="64"/>
      <c r="E54" s="61"/>
      <c r="F54" s="61"/>
      <c r="G54" s="66"/>
      <c r="H54" s="65"/>
      <c r="K54" s="64"/>
      <c r="P54" s="65"/>
    </row>
    <row r="55" spans="1:17">
      <c r="A55" s="59"/>
      <c r="B55" s="64"/>
      <c r="C55" s="64"/>
      <c r="D55" s="64"/>
      <c r="E55" s="61"/>
      <c r="F55" s="61"/>
      <c r="G55" s="66"/>
      <c r="H55" s="65"/>
      <c r="K55" s="64"/>
      <c r="P55" s="65"/>
    </row>
    <row r="56" spans="1:17">
      <c r="A56" s="59"/>
      <c r="B56" s="64"/>
      <c r="C56" s="64"/>
      <c r="D56" s="64"/>
      <c r="E56" s="61"/>
      <c r="F56" s="61"/>
      <c r="G56" s="66"/>
      <c r="H56" s="65"/>
      <c r="K56" s="64"/>
      <c r="P56" s="65"/>
    </row>
    <row r="57" spans="1:17">
      <c r="A57" s="59"/>
      <c r="B57" s="64"/>
      <c r="C57" s="64"/>
      <c r="D57" s="64"/>
      <c r="E57" s="61"/>
      <c r="F57" s="61"/>
      <c r="G57" s="66"/>
      <c r="H57" s="65"/>
      <c r="K57" s="64"/>
      <c r="P57" s="65"/>
    </row>
    <row r="58" spans="1:17">
      <c r="A58" s="59"/>
      <c r="B58" s="64"/>
      <c r="C58" s="64"/>
      <c r="D58" s="64"/>
      <c r="E58" s="61"/>
      <c r="F58" s="61"/>
      <c r="G58" s="66"/>
      <c r="H58" s="65"/>
      <c r="K58" s="64"/>
      <c r="P58" s="65"/>
    </row>
    <row r="59" spans="1:17">
      <c r="A59" s="59"/>
      <c r="B59" s="64"/>
      <c r="C59" s="64"/>
      <c r="D59" s="64"/>
      <c r="E59" s="61"/>
      <c r="F59" s="61"/>
      <c r="G59" s="66"/>
      <c r="H59" s="65"/>
      <c r="K59" s="64"/>
      <c r="P59" s="65"/>
    </row>
    <row r="60" spans="1:17">
      <c r="A60" s="59"/>
      <c r="B60" s="64"/>
      <c r="C60" s="64"/>
      <c r="D60" s="64"/>
      <c r="E60" s="61"/>
      <c r="F60" s="61"/>
      <c r="G60" s="66"/>
      <c r="H60" s="65"/>
      <c r="K60" s="64"/>
      <c r="P60" s="65"/>
    </row>
  </sheetData>
  <mergeCells count="3">
    <mergeCell ref="O3:Q3"/>
    <mergeCell ref="I3:K3"/>
    <mergeCell ref="L3:N3"/>
  </mergeCells>
  <phoneticPr fontId="6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III</vt:lpstr>
      <vt:lpstr>IV</vt:lpstr>
      <vt:lpstr>VI</vt:lpstr>
      <vt:lpstr>VII</vt:lpstr>
      <vt:lpstr>VIII</vt:lpstr>
      <vt:lpstr>IX</vt:lpstr>
    </vt:vector>
  </TitlesOfParts>
  <Company>hpl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 Pierson</dc:creator>
  <cp:lastModifiedBy>Jamie Pierson</cp:lastModifiedBy>
  <dcterms:created xsi:type="dcterms:W3CDTF">2009-10-19T18:06:12Z</dcterms:created>
  <dcterms:modified xsi:type="dcterms:W3CDTF">2009-10-20T19:19:58Z</dcterms:modified>
</cp:coreProperties>
</file>